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/>
  <bookViews>
    <workbookView xWindow="240" yWindow="60" windowWidth="8460" windowHeight="5010"/>
  </bookViews>
  <sheets>
    <sheet name="single helium balloon" sheetId="1" r:id="rId1"/>
    <sheet name="single hydrogen balloon" sheetId="5" r:id="rId2"/>
    <sheet name="multiple helium balloons" sheetId="2" r:id="rId3"/>
  </sheets>
  <definedNames>
    <definedName name="solver_adj" localSheetId="0" hidden="1">'single helium balloon'!$I$12</definedName>
    <definedName name="solver_adj" localSheetId="1" hidden="1">'single hydrogen balloon'!$I$12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'single helium balloon'!$L$31</definedName>
    <definedName name="solver_opt" localSheetId="1" hidden="1">'single hydrogen balloon'!$L$31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3</definedName>
    <definedName name="solver_typ" localSheetId="1" hidden="1">3</definedName>
    <definedName name="solver_val" localSheetId="0" hidden="1">1000</definedName>
    <definedName name="solver_val" localSheetId="1" hidden="1">1000</definedName>
    <definedName name="solver_ver" localSheetId="0" hidden="1">3</definedName>
    <definedName name="solver_ver" localSheetId="1" hidden="1">3</definedName>
  </definedNames>
  <calcPr calcId="145621" iterate="1" iterateCount="1000"/>
</workbook>
</file>

<file path=xl/calcChain.xml><?xml version="1.0" encoding="utf-8"?>
<calcChain xmlns="http://schemas.openxmlformats.org/spreadsheetml/2006/main">
  <c r="E12" i="2" l="1"/>
  <c r="B12" i="2"/>
  <c r="K10" i="1" l="1"/>
  <c r="T18" i="5"/>
  <c r="T17" i="5"/>
  <c r="T16" i="5"/>
  <c r="T15" i="5"/>
  <c r="T14" i="5"/>
  <c r="T11" i="5"/>
  <c r="T10" i="5"/>
  <c r="T13" i="1"/>
  <c r="T15" i="1"/>
  <c r="T16" i="1"/>
  <c r="T17" i="1"/>
  <c r="C12" i="1"/>
  <c r="B37" i="5" l="1"/>
  <c r="C37" i="5" s="1"/>
  <c r="B36" i="5"/>
  <c r="C36" i="5" s="1"/>
  <c r="B35" i="5"/>
  <c r="C35" i="5" s="1"/>
  <c r="E35" i="5" s="1"/>
  <c r="B34" i="5"/>
  <c r="C34" i="5" s="1"/>
  <c r="B33" i="5"/>
  <c r="C33" i="5" s="1"/>
  <c r="B32" i="5"/>
  <c r="C32" i="5" s="1"/>
  <c r="B31" i="5"/>
  <c r="C31" i="5" s="1"/>
  <c r="I31" i="5" s="1"/>
  <c r="J31" i="5" s="1"/>
  <c r="B30" i="5"/>
  <c r="C30" i="5" s="1"/>
  <c r="B29" i="5"/>
  <c r="C29" i="5" s="1"/>
  <c r="K18" i="5"/>
  <c r="D37" i="5" s="1"/>
  <c r="F18" i="5"/>
  <c r="H18" i="5" s="1"/>
  <c r="C18" i="5"/>
  <c r="K17" i="5"/>
  <c r="D36" i="5" s="1"/>
  <c r="F17" i="5"/>
  <c r="G17" i="5" s="1"/>
  <c r="J17" i="5" s="1"/>
  <c r="N17" i="5" s="1"/>
  <c r="U17" i="5" s="1"/>
  <c r="C17" i="5"/>
  <c r="K16" i="5"/>
  <c r="D35" i="5" s="1"/>
  <c r="H16" i="5"/>
  <c r="G16" i="5"/>
  <c r="J16" i="5" s="1"/>
  <c r="N16" i="5" s="1"/>
  <c r="O16" i="5" s="1"/>
  <c r="F16" i="5"/>
  <c r="C16" i="5"/>
  <c r="K15" i="5"/>
  <c r="D34" i="5" s="1"/>
  <c r="F15" i="5"/>
  <c r="H15" i="5" s="1"/>
  <c r="C15" i="5"/>
  <c r="K14" i="5"/>
  <c r="D33" i="5" s="1"/>
  <c r="F14" i="5"/>
  <c r="C14" i="5"/>
  <c r="K13" i="5"/>
  <c r="D32" i="5" s="1"/>
  <c r="F13" i="5"/>
  <c r="G13" i="5" s="1"/>
  <c r="J13" i="5" s="1"/>
  <c r="N13" i="5" s="1"/>
  <c r="C13" i="5"/>
  <c r="K12" i="5"/>
  <c r="D31" i="5" s="1"/>
  <c r="F12" i="5"/>
  <c r="H12" i="5" s="1"/>
  <c r="C12" i="5"/>
  <c r="K11" i="5"/>
  <c r="D30" i="5" s="1"/>
  <c r="F11" i="5"/>
  <c r="H11" i="5" s="1"/>
  <c r="C11" i="5"/>
  <c r="K10" i="5"/>
  <c r="D29" i="5" s="1"/>
  <c r="F10" i="5"/>
  <c r="C10" i="5"/>
  <c r="G12" i="5" l="1"/>
  <c r="J12" i="5" s="1"/>
  <c r="N12" i="5" s="1"/>
  <c r="O12" i="5" s="1"/>
  <c r="H17" i="5"/>
  <c r="L17" i="5" s="1"/>
  <c r="M17" i="5" s="1"/>
  <c r="H13" i="5"/>
  <c r="L16" i="5"/>
  <c r="M16" i="5" s="1"/>
  <c r="I35" i="5"/>
  <c r="J35" i="5" s="1"/>
  <c r="P13" i="5"/>
  <c r="O13" i="5"/>
  <c r="H10" i="5"/>
  <c r="G10" i="5"/>
  <c r="J10" i="5" s="1"/>
  <c r="N10" i="5" s="1"/>
  <c r="L13" i="5"/>
  <c r="M13" i="5" s="1"/>
  <c r="H14" i="5"/>
  <c r="G14" i="5"/>
  <c r="J14" i="5" s="1"/>
  <c r="N14" i="5" s="1"/>
  <c r="I30" i="5"/>
  <c r="J30" i="5" s="1"/>
  <c r="E30" i="5"/>
  <c r="F30" i="5" s="1"/>
  <c r="G11" i="5"/>
  <c r="J11" i="5" s="1"/>
  <c r="G15" i="5"/>
  <c r="J15" i="5" s="1"/>
  <c r="P17" i="5"/>
  <c r="O17" i="5"/>
  <c r="I29" i="5"/>
  <c r="J29" i="5" s="1"/>
  <c r="E29" i="5"/>
  <c r="F29" i="5" s="1"/>
  <c r="E31" i="5"/>
  <c r="F31" i="5" s="1"/>
  <c r="I36" i="5"/>
  <c r="J36" i="5" s="1"/>
  <c r="E36" i="5"/>
  <c r="F36" i="5" s="1"/>
  <c r="I37" i="5"/>
  <c r="J37" i="5" s="1"/>
  <c r="E37" i="5"/>
  <c r="F37" i="5" s="1"/>
  <c r="P16" i="5"/>
  <c r="I34" i="5"/>
  <c r="J34" i="5" s="1"/>
  <c r="E34" i="5"/>
  <c r="F34" i="5" s="1"/>
  <c r="I32" i="5"/>
  <c r="J32" i="5" s="1"/>
  <c r="E32" i="5"/>
  <c r="F32" i="5" s="1"/>
  <c r="I33" i="5"/>
  <c r="J33" i="5" s="1"/>
  <c r="E33" i="5"/>
  <c r="F33" i="5" s="1"/>
  <c r="F35" i="5"/>
  <c r="G18" i="5"/>
  <c r="J18" i="5" s="1"/>
  <c r="N18" i="5" s="1"/>
  <c r="B30" i="1"/>
  <c r="C30" i="1" s="1"/>
  <c r="B31" i="1"/>
  <c r="C31" i="1" s="1"/>
  <c r="E31" i="1" s="1"/>
  <c r="B32" i="1"/>
  <c r="C32" i="1"/>
  <c r="E32" i="1" s="1"/>
  <c r="B33" i="1"/>
  <c r="C33" i="1" s="1"/>
  <c r="B34" i="1"/>
  <c r="C34" i="1" s="1"/>
  <c r="B35" i="1"/>
  <c r="C35" i="1" s="1"/>
  <c r="E35" i="1" s="1"/>
  <c r="B36" i="1"/>
  <c r="C36" i="1" s="1"/>
  <c r="E36" i="1" s="1"/>
  <c r="B37" i="1"/>
  <c r="C37" i="1" s="1"/>
  <c r="B29" i="1"/>
  <c r="C29" i="1" s="1"/>
  <c r="P12" i="5" l="1"/>
  <c r="R12" i="5" s="1"/>
  <c r="G31" i="5" s="1"/>
  <c r="H31" i="5" s="1"/>
  <c r="K31" i="5" s="1"/>
  <c r="L31" i="5" s="1"/>
  <c r="L12" i="5"/>
  <c r="M12" i="5" s="1"/>
  <c r="P18" i="5"/>
  <c r="O18" i="5"/>
  <c r="N15" i="5"/>
  <c r="L15" i="5"/>
  <c r="M15" i="5" s="1"/>
  <c r="P14" i="5"/>
  <c r="O14" i="5"/>
  <c r="P10" i="5"/>
  <c r="O10" i="5"/>
  <c r="L18" i="5"/>
  <c r="M18" i="5" s="1"/>
  <c r="R16" i="5"/>
  <c r="Q16" i="5"/>
  <c r="N11" i="5"/>
  <c r="L11" i="5"/>
  <c r="M11" i="5" s="1"/>
  <c r="L14" i="5"/>
  <c r="M14" i="5" s="1"/>
  <c r="L10" i="5"/>
  <c r="M10" i="5" s="1"/>
  <c r="R17" i="5"/>
  <c r="Q17" i="5"/>
  <c r="R13" i="5"/>
  <c r="G32" i="5" s="1"/>
  <c r="Q13" i="5"/>
  <c r="E33" i="1"/>
  <c r="I33" i="1"/>
  <c r="J33" i="1" s="1"/>
  <c r="I29" i="1"/>
  <c r="J29" i="1" s="1"/>
  <c r="E29" i="1"/>
  <c r="I37" i="1"/>
  <c r="J37" i="1" s="1"/>
  <c r="E37" i="1"/>
  <c r="I34" i="1"/>
  <c r="J34" i="1" s="1"/>
  <c r="E34" i="1"/>
  <c r="E30" i="1"/>
  <c r="I30" i="1"/>
  <c r="J30" i="1" s="1"/>
  <c r="I35" i="1"/>
  <c r="J35" i="1" s="1"/>
  <c r="I31" i="1"/>
  <c r="J31" i="1" s="1"/>
  <c r="I36" i="1"/>
  <c r="J36" i="1" s="1"/>
  <c r="I32" i="1"/>
  <c r="J32" i="1" s="1"/>
  <c r="I17" i="2"/>
  <c r="N17" i="2" s="1"/>
  <c r="O17" i="2" s="1"/>
  <c r="K17" i="2"/>
  <c r="L17" i="2" s="1"/>
  <c r="J17" i="2"/>
  <c r="G17" i="2"/>
  <c r="F17" i="2"/>
  <c r="E17" i="2"/>
  <c r="B17" i="2"/>
  <c r="K17" i="1"/>
  <c r="D36" i="1" s="1"/>
  <c r="F36" i="1" s="1"/>
  <c r="F17" i="1"/>
  <c r="G17" i="1" s="1"/>
  <c r="J17" i="1" s="1"/>
  <c r="C17" i="1"/>
  <c r="E37" i="2"/>
  <c r="D37" i="2"/>
  <c r="C37" i="2"/>
  <c r="B37" i="2"/>
  <c r="J18" i="2"/>
  <c r="G18" i="2"/>
  <c r="E18" i="2"/>
  <c r="F18" i="2" s="1"/>
  <c r="I18" i="2" s="1"/>
  <c r="N18" i="2" s="1"/>
  <c r="B18" i="2"/>
  <c r="J16" i="2"/>
  <c r="G16" i="2"/>
  <c r="F16" i="2"/>
  <c r="I16" i="2" s="1"/>
  <c r="E16" i="2"/>
  <c r="B16" i="2"/>
  <c r="J15" i="2"/>
  <c r="E15" i="2"/>
  <c r="G15" i="2" s="1"/>
  <c r="B15" i="2"/>
  <c r="J14" i="2"/>
  <c r="E14" i="2"/>
  <c r="G14" i="2" s="1"/>
  <c r="B14" i="2"/>
  <c r="J13" i="2"/>
  <c r="G13" i="2"/>
  <c r="E13" i="2"/>
  <c r="F13" i="2" s="1"/>
  <c r="I13" i="2" s="1"/>
  <c r="N13" i="2" s="1"/>
  <c r="B13" i="2"/>
  <c r="J12" i="2"/>
  <c r="G12" i="2"/>
  <c r="F12" i="2"/>
  <c r="I12" i="2" s="1"/>
  <c r="J11" i="2"/>
  <c r="E11" i="2"/>
  <c r="G11" i="2" s="1"/>
  <c r="B11" i="2"/>
  <c r="J10" i="2"/>
  <c r="E10" i="2"/>
  <c r="G10" i="2" s="1"/>
  <c r="B10" i="2"/>
  <c r="C10" i="1"/>
  <c r="F10" i="1"/>
  <c r="H10" i="1" s="1"/>
  <c r="D29" i="1"/>
  <c r="C11" i="1"/>
  <c r="F11" i="1"/>
  <c r="H11" i="1" s="1"/>
  <c r="K11" i="1"/>
  <c r="D30" i="1" s="1"/>
  <c r="F12" i="1"/>
  <c r="G12" i="1" s="1"/>
  <c r="J12" i="1" s="1"/>
  <c r="N12" i="1" s="1"/>
  <c r="K12" i="1"/>
  <c r="D31" i="1" s="1"/>
  <c r="F31" i="1" s="1"/>
  <c r="C13" i="1"/>
  <c r="F13" i="1"/>
  <c r="G13" i="1" s="1"/>
  <c r="J13" i="1" s="1"/>
  <c r="N13" i="1" s="1"/>
  <c r="K13" i="1"/>
  <c r="D32" i="1" s="1"/>
  <c r="F32" i="1" s="1"/>
  <c r="C14" i="1"/>
  <c r="F14" i="1"/>
  <c r="H14" i="1" s="1"/>
  <c r="K14" i="1"/>
  <c r="D33" i="1" s="1"/>
  <c r="C15" i="1"/>
  <c r="F15" i="1"/>
  <c r="G15" i="1" s="1"/>
  <c r="J15" i="1" s="1"/>
  <c r="N15" i="1" s="1"/>
  <c r="K15" i="1"/>
  <c r="D34" i="1" s="1"/>
  <c r="C16" i="1"/>
  <c r="F16" i="1"/>
  <c r="H16" i="1" s="1"/>
  <c r="K16" i="1"/>
  <c r="D35" i="1" s="1"/>
  <c r="F35" i="1" s="1"/>
  <c r="C18" i="1"/>
  <c r="F18" i="1"/>
  <c r="G18" i="1" s="1"/>
  <c r="J18" i="1" s="1"/>
  <c r="N18" i="1" s="1"/>
  <c r="K18" i="1"/>
  <c r="D37" i="1" s="1"/>
  <c r="S12" i="5" l="1"/>
  <c r="T12" i="5" s="1"/>
  <c r="Q12" i="5"/>
  <c r="G36" i="5"/>
  <c r="H36" i="5" s="1"/>
  <c r="K36" i="5" s="1"/>
  <c r="L36" i="5" s="1"/>
  <c r="V17" i="5"/>
  <c r="H32" i="5"/>
  <c r="K32" i="5" s="1"/>
  <c r="L32" i="5" s="1"/>
  <c r="S17" i="5"/>
  <c r="S13" i="5"/>
  <c r="T13" i="5" s="1"/>
  <c r="P11" i="5"/>
  <c r="O11" i="5"/>
  <c r="Q14" i="5"/>
  <c r="R14" i="5"/>
  <c r="G33" i="5" s="1"/>
  <c r="Q18" i="5"/>
  <c r="R18" i="5"/>
  <c r="G37" i="5" s="1"/>
  <c r="G35" i="5"/>
  <c r="S16" i="5"/>
  <c r="Q10" i="5"/>
  <c r="R10" i="5"/>
  <c r="G29" i="5" s="1"/>
  <c r="P15" i="5"/>
  <c r="O15" i="5"/>
  <c r="F33" i="1"/>
  <c r="F37" i="1"/>
  <c r="G11" i="1"/>
  <c r="J11" i="1" s="1"/>
  <c r="N11" i="1" s="1"/>
  <c r="G10" i="1"/>
  <c r="J10" i="1" s="1"/>
  <c r="F30" i="1"/>
  <c r="H18" i="1"/>
  <c r="L18" i="1" s="1"/>
  <c r="M18" i="1" s="1"/>
  <c r="G16" i="1"/>
  <c r="J16" i="1" s="1"/>
  <c r="N16" i="1" s="1"/>
  <c r="P16" i="1" s="1"/>
  <c r="R16" i="1" s="1"/>
  <c r="G35" i="1" s="1"/>
  <c r="H15" i="1"/>
  <c r="L15" i="1" s="1"/>
  <c r="M15" i="1" s="1"/>
  <c r="G14" i="1"/>
  <c r="J14" i="1" s="1"/>
  <c r="L14" i="1" s="1"/>
  <c r="M14" i="1" s="1"/>
  <c r="H13" i="1"/>
  <c r="L13" i="1" s="1"/>
  <c r="M13" i="1" s="1"/>
  <c r="F34" i="1"/>
  <c r="H17" i="1"/>
  <c r="L17" i="1" s="1"/>
  <c r="M17" i="1" s="1"/>
  <c r="F29" i="1"/>
  <c r="N17" i="1"/>
  <c r="P17" i="2"/>
  <c r="L10" i="1"/>
  <c r="M10" i="1" s="1"/>
  <c r="O12" i="1"/>
  <c r="P12" i="1"/>
  <c r="R12" i="1" s="1"/>
  <c r="G31" i="1" s="1"/>
  <c r="L11" i="1"/>
  <c r="M11" i="1" s="1"/>
  <c r="H12" i="1"/>
  <c r="L12" i="1" s="1"/>
  <c r="M12" i="1" s="1"/>
  <c r="K16" i="2"/>
  <c r="L16" i="2" s="1"/>
  <c r="N16" i="2"/>
  <c r="P18" i="2"/>
  <c r="O18" i="2"/>
  <c r="N12" i="2"/>
  <c r="K12" i="2"/>
  <c r="L12" i="2" s="1"/>
  <c r="P13" i="2"/>
  <c r="O13" i="2"/>
  <c r="K14" i="2"/>
  <c r="L14" i="2" s="1"/>
  <c r="K18" i="2"/>
  <c r="L18" i="2" s="1"/>
  <c r="K13" i="2"/>
  <c r="L13" i="2" s="1"/>
  <c r="F11" i="2"/>
  <c r="I11" i="2" s="1"/>
  <c r="N11" i="2" s="1"/>
  <c r="F15" i="2"/>
  <c r="I15" i="2" s="1"/>
  <c r="N15" i="2" s="1"/>
  <c r="F10" i="2"/>
  <c r="I10" i="2" s="1"/>
  <c r="N10" i="2" s="1"/>
  <c r="F14" i="2"/>
  <c r="I14" i="2" s="1"/>
  <c r="N14" i="2" s="1"/>
  <c r="O16" i="1" l="1"/>
  <c r="O17" i="1"/>
  <c r="U17" i="1"/>
  <c r="N10" i="1"/>
  <c r="P10" i="1" s="1"/>
  <c r="H31" i="1"/>
  <c r="K31" i="1" s="1"/>
  <c r="L31" i="1" s="1"/>
  <c r="H35" i="1"/>
  <c r="K35" i="1" s="1"/>
  <c r="L35" i="1" s="1"/>
  <c r="H29" i="5"/>
  <c r="K29" i="5" s="1"/>
  <c r="L29" i="5" s="1"/>
  <c r="H37" i="5"/>
  <c r="K37" i="5" s="1"/>
  <c r="L37" i="5" s="1"/>
  <c r="H33" i="5"/>
  <c r="K33" i="5" s="1"/>
  <c r="L33" i="5" s="1"/>
  <c r="S18" i="5"/>
  <c r="H35" i="5"/>
  <c r="K35" i="5" s="1"/>
  <c r="L35" i="5" s="1"/>
  <c r="S10" i="5"/>
  <c r="R15" i="5"/>
  <c r="Q15" i="5"/>
  <c r="S14" i="5"/>
  <c r="R11" i="5"/>
  <c r="Q11" i="5"/>
  <c r="N14" i="1"/>
  <c r="P14" i="1" s="1"/>
  <c r="R14" i="1" s="1"/>
  <c r="G33" i="1" s="1"/>
  <c r="L16" i="1"/>
  <c r="M16" i="1" s="1"/>
  <c r="S16" i="1" s="1"/>
  <c r="P17" i="1"/>
  <c r="R17" i="1" s="1"/>
  <c r="V17" i="1" s="1"/>
  <c r="Q17" i="2"/>
  <c r="R17" i="2"/>
  <c r="S17" i="2" s="1"/>
  <c r="T17" i="2" s="1"/>
  <c r="O11" i="1"/>
  <c r="P11" i="1"/>
  <c r="R11" i="1" s="1"/>
  <c r="G30" i="1" s="1"/>
  <c r="O15" i="1"/>
  <c r="P15" i="1"/>
  <c r="R15" i="1" s="1"/>
  <c r="G34" i="1" s="1"/>
  <c r="P18" i="1"/>
  <c r="R18" i="1" s="1"/>
  <c r="G37" i="1" s="1"/>
  <c r="O18" i="1"/>
  <c r="S12" i="1"/>
  <c r="T12" i="1" s="1"/>
  <c r="Q12" i="1"/>
  <c r="Q16" i="1"/>
  <c r="P13" i="1"/>
  <c r="R13" i="1" s="1"/>
  <c r="G32" i="1" s="1"/>
  <c r="O13" i="1"/>
  <c r="O15" i="2"/>
  <c r="P15" i="2"/>
  <c r="R18" i="2"/>
  <c r="Q18" i="2"/>
  <c r="S18" i="2"/>
  <c r="T18" i="2" s="1"/>
  <c r="O11" i="2"/>
  <c r="P11" i="2"/>
  <c r="O12" i="2"/>
  <c r="P12" i="2"/>
  <c r="O16" i="2"/>
  <c r="P16" i="2"/>
  <c r="O14" i="2"/>
  <c r="P14" i="2"/>
  <c r="S13" i="2"/>
  <c r="T13" i="2" s="1"/>
  <c r="K11" i="2"/>
  <c r="L11" i="2" s="1"/>
  <c r="P10" i="2"/>
  <c r="O10" i="2"/>
  <c r="K10" i="2"/>
  <c r="L10" i="2" s="1"/>
  <c r="R13" i="2"/>
  <c r="Q13" i="2"/>
  <c r="K15" i="2"/>
  <c r="L15" i="2" s="1"/>
  <c r="R10" i="1" l="1"/>
  <c r="Q10" i="1"/>
  <c r="O10" i="1"/>
  <c r="H30" i="1"/>
  <c r="K30" i="1" s="1"/>
  <c r="L30" i="1" s="1"/>
  <c r="H37" i="1"/>
  <c r="K37" i="1" s="1"/>
  <c r="L37" i="1" s="1"/>
  <c r="H33" i="1"/>
  <c r="K33" i="1" s="1"/>
  <c r="L33" i="1" s="1"/>
  <c r="H34" i="1"/>
  <c r="K34" i="1" s="1"/>
  <c r="L34" i="1" s="1"/>
  <c r="H32" i="1"/>
  <c r="K32" i="1" s="1"/>
  <c r="L32" i="1" s="1"/>
  <c r="G34" i="5"/>
  <c r="S15" i="5"/>
  <c r="G30" i="5"/>
  <c r="S11" i="5"/>
  <c r="O14" i="1"/>
  <c r="Q17" i="1"/>
  <c r="S17" i="1"/>
  <c r="G36" i="1"/>
  <c r="S18" i="1"/>
  <c r="T18" i="1" s="1"/>
  <c r="Q18" i="1"/>
  <c r="S15" i="1"/>
  <c r="Q15" i="1"/>
  <c r="Q14" i="1"/>
  <c r="S14" i="1"/>
  <c r="T14" i="1" s="1"/>
  <c r="Q13" i="1"/>
  <c r="S13" i="1"/>
  <c r="Q11" i="1"/>
  <c r="S11" i="1"/>
  <c r="T11" i="1" s="1"/>
  <c r="Q16" i="2"/>
  <c r="R16" i="2"/>
  <c r="S16" i="2" s="1"/>
  <c r="T16" i="2" s="1"/>
  <c r="S15" i="2"/>
  <c r="T15" i="2" s="1"/>
  <c r="R11" i="2"/>
  <c r="S11" i="2" s="1"/>
  <c r="T11" i="2" s="1"/>
  <c r="Q11" i="2"/>
  <c r="Q10" i="2"/>
  <c r="R10" i="2"/>
  <c r="S10" i="2" s="1"/>
  <c r="T10" i="2" s="1"/>
  <c r="Q14" i="2"/>
  <c r="R14" i="2"/>
  <c r="S14" i="2" s="1"/>
  <c r="T14" i="2" s="1"/>
  <c r="Q12" i="2"/>
  <c r="R12" i="2"/>
  <c r="S12" i="2" s="1"/>
  <c r="T12" i="2" s="1"/>
  <c r="R15" i="2"/>
  <c r="Q15" i="2"/>
  <c r="G29" i="1" l="1"/>
  <c r="H29" i="1" s="1"/>
  <c r="K29" i="1" s="1"/>
  <c r="L29" i="1" s="1"/>
  <c r="S10" i="1"/>
  <c r="T10" i="1" s="1"/>
  <c r="H36" i="1"/>
  <c r="K36" i="1" s="1"/>
  <c r="L36" i="1" s="1"/>
  <c r="H34" i="5"/>
  <c r="K34" i="5" s="1"/>
  <c r="L34" i="5" s="1"/>
  <c r="H30" i="5"/>
  <c r="K30" i="5" s="1"/>
  <c r="L30" i="5" s="1"/>
</calcChain>
</file>

<file path=xl/comments1.xml><?xml version="1.0" encoding="utf-8"?>
<comments xmlns="http://schemas.openxmlformats.org/spreadsheetml/2006/main">
  <authors>
    <author>rick the rocketeer</author>
  </authors>
  <commentList>
    <comment ref="R5" authorId="0">
      <text>
        <r>
          <rPr>
            <b/>
            <sz val="8"/>
            <color indexed="81"/>
            <rFont val="Tahoma"/>
            <family val="2"/>
          </rPr>
          <t>rick the rocketeer:</t>
        </r>
        <r>
          <rPr>
            <sz val="8"/>
            <color indexed="81"/>
            <rFont val="Tahoma"/>
            <family val="2"/>
          </rPr>
          <t xml:space="preserve">
Red bull Stratos balloon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rick the rocketeer:</t>
        </r>
        <r>
          <rPr>
            <sz val="8"/>
            <color indexed="81"/>
            <rFont val="Tahoma"/>
            <family val="2"/>
          </rPr>
          <t xml:space="preserve">
From ESDU 77021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rick the rocketeer:</t>
        </r>
        <r>
          <rPr>
            <sz val="8"/>
            <color indexed="81"/>
            <rFont val="Tahoma"/>
            <family val="2"/>
          </rPr>
          <t xml:space="preserve">
From ESDU 77021</t>
        </r>
      </text>
    </comment>
  </commentList>
</comments>
</file>

<file path=xl/comments2.xml><?xml version="1.0" encoding="utf-8"?>
<comments xmlns="http://schemas.openxmlformats.org/spreadsheetml/2006/main">
  <authors>
    <author>rick the rocketeer</author>
  </authors>
  <commentList>
    <comment ref="R5" authorId="0">
      <text>
        <r>
          <rPr>
            <b/>
            <sz val="8"/>
            <color indexed="81"/>
            <rFont val="Tahoma"/>
            <family val="2"/>
          </rPr>
          <t>rick the rocketeer:</t>
        </r>
        <r>
          <rPr>
            <sz val="8"/>
            <color indexed="81"/>
            <rFont val="Tahoma"/>
            <family val="2"/>
          </rPr>
          <t xml:space="preserve">
Red bull Stratos balloon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rick the rocketeer:</t>
        </r>
        <r>
          <rPr>
            <sz val="8"/>
            <color indexed="81"/>
            <rFont val="Tahoma"/>
            <family val="2"/>
          </rPr>
          <t xml:space="preserve">
From ESDU 77021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rick the rocketeer:</t>
        </r>
        <r>
          <rPr>
            <sz val="8"/>
            <color indexed="81"/>
            <rFont val="Tahoma"/>
            <family val="2"/>
          </rPr>
          <t xml:space="preserve">
From ESDU 77021</t>
        </r>
      </text>
    </comment>
  </commentList>
</comments>
</file>

<file path=xl/comments3.xml><?xml version="1.0" encoding="utf-8"?>
<comments xmlns="http://schemas.openxmlformats.org/spreadsheetml/2006/main">
  <authors>
    <author>rick the rocketeer</author>
  </authors>
  <commentList>
    <comment ref="R5" authorId="0">
      <text>
        <r>
          <rPr>
            <b/>
            <sz val="8"/>
            <color indexed="81"/>
            <rFont val="Tahoma"/>
            <family val="2"/>
          </rPr>
          <t>rick the rocketeer:</t>
        </r>
        <r>
          <rPr>
            <sz val="8"/>
            <color indexed="81"/>
            <rFont val="Tahoma"/>
            <family val="2"/>
          </rPr>
          <t xml:space="preserve">
Kaymont type C
CI 3000 weatherballoon
and Totex 3000 weatherballoon (at burst altitude)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>rick the rocketeer:</t>
        </r>
        <r>
          <rPr>
            <sz val="8"/>
            <color indexed="81"/>
            <rFont val="Tahoma"/>
            <family val="2"/>
          </rPr>
          <t xml:space="preserve">
From ESDU 77021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rick the rocketeer:</t>
        </r>
        <r>
          <rPr>
            <sz val="8"/>
            <color indexed="81"/>
            <rFont val="Tahoma"/>
            <family val="2"/>
          </rPr>
          <t xml:space="preserve">
From ESDU 77021</t>
        </r>
      </text>
    </comment>
    <comment ref="N8" authorId="0">
      <text>
        <r>
          <rPr>
            <b/>
            <sz val="8"/>
            <color indexed="81"/>
            <rFont val="Tahoma"/>
            <family val="2"/>
          </rPr>
          <t>rick the rocketeer:</t>
        </r>
        <r>
          <rPr>
            <sz val="8"/>
            <color indexed="81"/>
            <rFont val="Tahoma"/>
            <family val="2"/>
          </rPr>
          <t xml:space="preserve">
Must be less than burst radius.</t>
        </r>
      </text>
    </comment>
  </commentList>
</comments>
</file>

<file path=xl/sharedStrings.xml><?xml version="1.0" encoding="utf-8"?>
<sst xmlns="http://schemas.openxmlformats.org/spreadsheetml/2006/main" count="301" uniqueCount="84">
  <si>
    <t>R air</t>
  </si>
  <si>
    <t>R helium</t>
  </si>
  <si>
    <t>lift (N)</t>
  </si>
  <si>
    <t>balloon</t>
  </si>
  <si>
    <t>Surface area</t>
  </si>
  <si>
    <t>metres</t>
  </si>
  <si>
    <t>feet</t>
  </si>
  <si>
    <t>per square metre</t>
  </si>
  <si>
    <t>weight</t>
  </si>
  <si>
    <t>net lift</t>
  </si>
  <si>
    <t>fabric weight (N)</t>
  </si>
  <si>
    <t>gross</t>
  </si>
  <si>
    <t>Helium balloon calculation spreadsheet</t>
  </si>
  <si>
    <t>Pa</t>
  </si>
  <si>
    <t>density</t>
  </si>
  <si>
    <t>ratio</t>
  </si>
  <si>
    <t>m</t>
  </si>
  <si>
    <t>Altitude</t>
  </si>
  <si>
    <t>Temperature</t>
  </si>
  <si>
    <t>K</t>
  </si>
  <si>
    <t>Pressure</t>
  </si>
  <si>
    <t>Helium</t>
  </si>
  <si>
    <t>air</t>
  </si>
  <si>
    <t>volume</t>
  </si>
  <si>
    <t>(displaced</t>
  </si>
  <si>
    <t>air volume)</t>
  </si>
  <si>
    <t>kg</t>
  </si>
  <si>
    <t>Total</t>
  </si>
  <si>
    <t>mass</t>
  </si>
  <si>
    <r>
      <t>kg/m</t>
    </r>
    <r>
      <rPr>
        <vertAlign val="superscript"/>
        <sz val="10"/>
        <rFont val="Arial"/>
        <family val="2"/>
      </rPr>
      <t>3</t>
    </r>
  </si>
  <si>
    <t>N</t>
  </si>
  <si>
    <t>Displaced</t>
  </si>
  <si>
    <t>number</t>
  </si>
  <si>
    <t>of</t>
  </si>
  <si>
    <t>balloons</t>
  </si>
  <si>
    <t>Sealevel</t>
  </si>
  <si>
    <t>square</t>
  </si>
  <si>
    <t xml:space="preserve">payload </t>
  </si>
  <si>
    <t>radius</t>
  </si>
  <si>
    <t>diameter</t>
  </si>
  <si>
    <t>Kaymont Type C (KCL 3000) weatherballoon</t>
  </si>
  <si>
    <t>fabric</t>
  </si>
  <si>
    <t xml:space="preserve">Neck Diameter (cm) </t>
  </si>
  <si>
    <t xml:space="preserve">Neck Length (cm) </t>
  </si>
  <si>
    <t xml:space="preserve">Flaccid Body Length more(cm) </t>
  </si>
  <si>
    <t xml:space="preserve">Barely Inflated Diameter more(cm) </t>
  </si>
  <si>
    <t xml:space="preserve">Payload (gr) </t>
  </si>
  <si>
    <t xml:space="preserve">Recommended Free Lift (gr) </t>
  </si>
  <si>
    <t xml:space="preserve">Nozzle Lift (gr) </t>
  </si>
  <si>
    <t xml:space="preserve">Gross Lift (gr) </t>
  </si>
  <si>
    <t xml:space="preserve">Diameter at Release (cm) </t>
  </si>
  <si>
    <t xml:space="preserve">Volume at Release (cu. m) </t>
  </si>
  <si>
    <t xml:space="preserve">Rate of Ascent (m/min) </t>
  </si>
  <si>
    <t xml:space="preserve">Diameter at Burst (cm) </t>
  </si>
  <si>
    <t xml:space="preserve">Bursting Altitude (km) </t>
  </si>
  <si>
    <t xml:space="preserve">Bursting Pressure (hPa) </t>
  </si>
  <si>
    <t>Average weight (grams)</t>
  </si>
  <si>
    <t xml:space="preserve">Radius at Burst (metres) </t>
  </si>
  <si>
    <t>R hydrogen</t>
  </si>
  <si>
    <t>hydrogen</t>
  </si>
  <si>
    <t>Hydrogen balloon calculation spreadsheet</t>
  </si>
  <si>
    <t>sealevel</t>
  </si>
  <si>
    <t>sea-level</t>
  </si>
  <si>
    <t>temperature</t>
  </si>
  <si>
    <r>
      <t>m</t>
    </r>
    <r>
      <rPr>
        <vertAlign val="superscript"/>
        <sz val="10"/>
        <rFont val="Arial"/>
        <family val="2"/>
      </rPr>
      <t>3</t>
    </r>
  </si>
  <si>
    <t>cross</t>
  </si>
  <si>
    <t>sectional</t>
  </si>
  <si>
    <t>area</t>
  </si>
  <si>
    <r>
      <t>m</t>
    </r>
    <r>
      <rPr>
        <vertAlign val="superscript"/>
        <sz val="10"/>
        <rFont val="Arial"/>
        <family val="2"/>
      </rPr>
      <t>2</t>
    </r>
  </si>
  <si>
    <t>Cd</t>
  </si>
  <si>
    <t>available</t>
  </si>
  <si>
    <t>lift</t>
  </si>
  <si>
    <t>initial</t>
  </si>
  <si>
    <t>ascent</t>
  </si>
  <si>
    <t>m/sec</t>
  </si>
  <si>
    <t>ft/min</t>
  </si>
  <si>
    <t>speed</t>
  </si>
  <si>
    <t>Safe ascent speed is 1000 feet/min</t>
  </si>
  <si>
    <t>Guess</t>
  </si>
  <si>
    <t>payload mass kg</t>
  </si>
  <si>
    <t>The speed of ascent of a weather balloon is considered to be approximately constant, (although I've come across several sites that state there is a slight increase with altitude).</t>
  </si>
  <si>
    <t>Target</t>
  </si>
  <si>
    <t>Enter data in blue</t>
  </si>
  <si>
    <t>Multiple helium weatherballoon calculation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</si>
</sst>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4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4"/>
      <name val="Arial"/>
      <family val="2"/>
    </font>
    <font>
      <sz val="10"/>
      <color rgb="FF333333"/>
      <name val="Verdana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6"/>
      <name val="Arial"/>
      <family val="2"/>
    </font>
    <font>
      <sz val="16"/>
      <color rgb="FF0070C0"/>
      <name val="Arial"/>
      <family val="2"/>
    </font>
    <font>
      <b/>
      <sz val="14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5" fillId="0" borderId="0" xfId="0" applyFont="1"/>
    <xf numFmtId="164" fontId="0" fillId="2" borderId="0" xfId="0" applyNumberFormat="1" applyFill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64" fontId="10" fillId="0" borderId="0" xfId="0" applyNumberFormat="1" applyFont="1" applyFill="1"/>
    <xf numFmtId="0" fontId="1" fillId="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164" fontId="0" fillId="4" borderId="0" xfId="0" applyNumberFormat="1" applyFill="1"/>
    <xf numFmtId="164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164" fontId="14" fillId="0" borderId="0" xfId="0" applyNumberFormat="1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V37"/>
  <sheetViews>
    <sheetView tabSelected="1" zoomScale="75" workbookViewId="0">
      <selection activeCell="J2" sqref="J2"/>
    </sheetView>
  </sheetViews>
  <sheetFormatPr defaultRowHeight="12.75" x14ac:dyDescent="0.2"/>
  <cols>
    <col min="2" max="2" width="12.85546875" customWidth="1"/>
    <col min="3" max="3" width="10.42578125" customWidth="1"/>
    <col min="4" max="4" width="11.42578125" customWidth="1"/>
    <col min="6" max="6" width="10.140625" customWidth="1"/>
    <col min="7" max="7" width="11.7109375" customWidth="1"/>
    <col min="8" max="8" width="8" customWidth="1"/>
    <col min="9" max="9" width="7.5703125" customWidth="1"/>
    <col min="10" max="10" width="10.7109375" customWidth="1"/>
    <col min="14" max="14" width="7.28515625" customWidth="1"/>
    <col min="16" max="16" width="8.28515625" customWidth="1"/>
    <col min="17" max="17" width="10.42578125" customWidth="1"/>
    <col min="18" max="19" width="10.7109375" customWidth="1"/>
  </cols>
  <sheetData>
    <row r="1" spans="2:20" ht="20.25" x14ac:dyDescent="0.3">
      <c r="B1" s="32" t="s">
        <v>12</v>
      </c>
    </row>
    <row r="2" spans="2:20" ht="20.25" x14ac:dyDescent="0.3">
      <c r="B2" s="33" t="s">
        <v>82</v>
      </c>
      <c r="J2" s="35" t="s">
        <v>79</v>
      </c>
      <c r="R2" s="4" t="s">
        <v>3</v>
      </c>
    </row>
    <row r="3" spans="2:20" x14ac:dyDescent="0.2">
      <c r="C3" s="2"/>
      <c r="D3" s="2"/>
      <c r="E3" s="2"/>
      <c r="F3" s="2" t="s">
        <v>35</v>
      </c>
      <c r="G3" s="21" t="s">
        <v>61</v>
      </c>
      <c r="H3" s="21" t="s">
        <v>61</v>
      </c>
      <c r="I3" s="2"/>
      <c r="J3" s="19">
        <v>710</v>
      </c>
      <c r="M3" s="28" t="s">
        <v>3</v>
      </c>
      <c r="R3" s="4" t="s">
        <v>10</v>
      </c>
    </row>
    <row r="4" spans="2:20" x14ac:dyDescent="0.2">
      <c r="C4" s="2" t="s">
        <v>1</v>
      </c>
      <c r="D4" s="2" t="s">
        <v>0</v>
      </c>
      <c r="E4" s="2"/>
      <c r="F4" s="2" t="s">
        <v>20</v>
      </c>
      <c r="G4" s="23" t="s">
        <v>63</v>
      </c>
      <c r="H4" s="21" t="s">
        <v>14</v>
      </c>
      <c r="I4" s="2"/>
      <c r="J4" s="2"/>
      <c r="M4" s="28" t="s">
        <v>69</v>
      </c>
      <c r="R4" s="4" t="s">
        <v>7</v>
      </c>
    </row>
    <row r="5" spans="2:20" x14ac:dyDescent="0.2">
      <c r="C5" s="2">
        <v>2080</v>
      </c>
      <c r="D5" s="2">
        <v>287.05200000000002</v>
      </c>
      <c r="E5" s="2"/>
      <c r="F5" s="9">
        <v>101325</v>
      </c>
      <c r="G5" s="2">
        <v>288.2</v>
      </c>
      <c r="H5" s="2">
        <v>1.2250000000000001</v>
      </c>
      <c r="I5" s="2"/>
      <c r="J5" s="2"/>
      <c r="M5" s="28">
        <v>0.25</v>
      </c>
      <c r="R5" s="4">
        <v>0.39</v>
      </c>
    </row>
    <row r="6" spans="2:20" x14ac:dyDescent="0.2">
      <c r="C6" s="2"/>
      <c r="D6" s="2"/>
      <c r="E6" s="2"/>
      <c r="F6" s="2"/>
      <c r="G6" s="2"/>
      <c r="H6" s="2"/>
      <c r="I6" s="6" t="s">
        <v>78</v>
      </c>
      <c r="J6" s="2" t="s">
        <v>21</v>
      </c>
      <c r="K6" s="2"/>
      <c r="L6" s="2" t="s">
        <v>31</v>
      </c>
      <c r="M6" s="2"/>
      <c r="N6" s="2"/>
      <c r="O6" s="2"/>
      <c r="P6" s="2"/>
      <c r="Q6" s="2"/>
      <c r="R6" s="2"/>
      <c r="S6" s="2"/>
    </row>
    <row r="7" spans="2:20" x14ac:dyDescent="0.2">
      <c r="B7" s="21" t="s">
        <v>81</v>
      </c>
      <c r="C7" s="21" t="s">
        <v>81</v>
      </c>
      <c r="D7" s="2"/>
      <c r="E7" s="2"/>
      <c r="F7" s="2"/>
      <c r="G7" s="2" t="s">
        <v>21</v>
      </c>
      <c r="H7" s="2" t="s">
        <v>22</v>
      </c>
      <c r="I7" s="6" t="s">
        <v>21</v>
      </c>
      <c r="J7" s="2" t="s">
        <v>23</v>
      </c>
      <c r="K7" s="2" t="s">
        <v>21</v>
      </c>
      <c r="L7" s="2" t="s">
        <v>22</v>
      </c>
      <c r="M7" s="7"/>
      <c r="N7" s="2"/>
      <c r="O7" s="2"/>
      <c r="P7" s="10" t="s">
        <v>4</v>
      </c>
      <c r="Q7" s="2"/>
      <c r="R7" s="2" t="s">
        <v>41</v>
      </c>
      <c r="S7" s="27" t="s">
        <v>70</v>
      </c>
    </row>
    <row r="8" spans="2:20" x14ac:dyDescent="0.2">
      <c r="B8" s="21" t="s">
        <v>17</v>
      </c>
      <c r="C8" s="2" t="s">
        <v>17</v>
      </c>
      <c r="D8" s="2" t="s">
        <v>18</v>
      </c>
      <c r="E8" s="2" t="s">
        <v>20</v>
      </c>
      <c r="F8" s="2" t="s">
        <v>20</v>
      </c>
      <c r="G8" s="2" t="s">
        <v>14</v>
      </c>
      <c r="H8" s="2" t="s">
        <v>14</v>
      </c>
      <c r="I8" s="6" t="s">
        <v>28</v>
      </c>
      <c r="J8" s="2" t="s">
        <v>24</v>
      </c>
      <c r="K8" s="2" t="s">
        <v>8</v>
      </c>
      <c r="L8" s="2" t="s">
        <v>8</v>
      </c>
      <c r="M8" s="2" t="s">
        <v>11</v>
      </c>
      <c r="N8" s="2" t="s">
        <v>38</v>
      </c>
      <c r="O8" s="2" t="s">
        <v>39</v>
      </c>
      <c r="P8" s="2" t="s">
        <v>36</v>
      </c>
      <c r="Q8" s="2" t="s">
        <v>36</v>
      </c>
      <c r="R8" s="2" t="s">
        <v>8</v>
      </c>
      <c r="S8" s="8" t="s">
        <v>71</v>
      </c>
      <c r="T8" s="25" t="s">
        <v>9</v>
      </c>
    </row>
    <row r="9" spans="2:20" ht="14.25" x14ac:dyDescent="0.2">
      <c r="B9" s="21" t="s">
        <v>5</v>
      </c>
      <c r="C9" s="2" t="s">
        <v>6</v>
      </c>
      <c r="D9" s="2" t="s">
        <v>19</v>
      </c>
      <c r="E9" s="2" t="s">
        <v>15</v>
      </c>
      <c r="F9" s="2" t="s">
        <v>13</v>
      </c>
      <c r="G9" s="2" t="s">
        <v>29</v>
      </c>
      <c r="H9" s="2" t="s">
        <v>29</v>
      </c>
      <c r="I9" s="6" t="s">
        <v>26</v>
      </c>
      <c r="J9" s="2" t="s">
        <v>25</v>
      </c>
      <c r="K9" s="2" t="s">
        <v>30</v>
      </c>
      <c r="L9" s="2" t="s">
        <v>30</v>
      </c>
      <c r="M9" s="2" t="s">
        <v>2</v>
      </c>
      <c r="N9" s="2" t="s">
        <v>16</v>
      </c>
      <c r="O9" s="2" t="s">
        <v>6</v>
      </c>
      <c r="P9" s="2" t="s">
        <v>5</v>
      </c>
      <c r="Q9" s="2" t="s">
        <v>6</v>
      </c>
      <c r="R9" s="2" t="s">
        <v>30</v>
      </c>
      <c r="S9" s="8" t="s">
        <v>30</v>
      </c>
      <c r="T9" s="25" t="s">
        <v>30</v>
      </c>
    </row>
    <row r="10" spans="2:20" x14ac:dyDescent="0.2">
      <c r="B10" s="30">
        <v>15500</v>
      </c>
      <c r="C10" s="3">
        <f t="shared" ref="C10:C18" si="0">B10/0.3048</f>
        <v>50853.018372703409</v>
      </c>
      <c r="D10">
        <v>216.7</v>
      </c>
      <c r="E10">
        <v>0.1099</v>
      </c>
      <c r="F10" s="1">
        <f t="shared" ref="F10:F18" si="1">$F$5*E10</f>
        <v>11135.6175</v>
      </c>
      <c r="G10">
        <f t="shared" ref="G10:G18" si="2">F10/($C$5*D10)</f>
        <v>2.470540959674843E-2</v>
      </c>
      <c r="H10">
        <f t="shared" ref="H10:H18" si="3">F10/($D$5*D10)</f>
        <v>0.17901722322518823</v>
      </c>
      <c r="I10" s="4">
        <v>129.5</v>
      </c>
      <c r="J10" s="1">
        <f t="shared" ref="J10:J18" si="4">I10/G10</f>
        <v>5241.7669698155487</v>
      </c>
      <c r="K10" s="1">
        <f t="shared" ref="K10:K18" si="5">I10*9.81</f>
        <v>1270.395</v>
      </c>
      <c r="L10" s="1">
        <f t="shared" ref="L10:L18" si="6">H10*J10*9.81</f>
        <v>9205.3760294302083</v>
      </c>
      <c r="M10" s="1">
        <f t="shared" ref="M10:M18" si="7">L10-K10</f>
        <v>7934.9810294302079</v>
      </c>
      <c r="N10" s="1">
        <f t="shared" ref="N10:N18" si="8">POWER((3*J10/(PI()*4)),1/3)</f>
        <v>10.776135249806758</v>
      </c>
      <c r="O10" s="3">
        <f t="shared" ref="O10:O18" si="9">N10*2/0.3048</f>
        <v>70.709548883246441</v>
      </c>
      <c r="P10" s="3">
        <f t="shared" ref="P10:P18" si="10">4*PI()*(N10^2)</f>
        <v>1459.2709301536136</v>
      </c>
      <c r="Q10" s="3">
        <f t="shared" ref="Q10:Q18" si="11">P10/(0.3048^2)</f>
        <v>15707.461565882166</v>
      </c>
      <c r="R10" s="3">
        <f>P10*$R$5</f>
        <v>569.11566275990936</v>
      </c>
      <c r="S10" s="5">
        <f t="shared" ref="S10:S18" si="12">M10-R10</f>
        <v>7365.8653666702985</v>
      </c>
      <c r="T10" s="26">
        <f>S10-$J$3*9.81</f>
        <v>400.76536667029814</v>
      </c>
    </row>
    <row r="11" spans="2:20" x14ac:dyDescent="0.2">
      <c r="B11" s="30">
        <v>18000</v>
      </c>
      <c r="C11" s="3">
        <f t="shared" si="0"/>
        <v>59055.118110236217</v>
      </c>
      <c r="D11">
        <v>216.7</v>
      </c>
      <c r="E11">
        <v>7.4069999999999997E-2</v>
      </c>
      <c r="F11" s="1">
        <f t="shared" si="1"/>
        <v>7505.14275</v>
      </c>
      <c r="G11">
        <f t="shared" si="2"/>
        <v>1.6650861590820347E-2</v>
      </c>
      <c r="H11">
        <f t="shared" si="3"/>
        <v>0.12065337328744033</v>
      </c>
      <c r="I11" s="4">
        <v>132.6</v>
      </c>
      <c r="J11" s="1">
        <f t="shared" si="4"/>
        <v>7963.5518724810399</v>
      </c>
      <c r="K11" s="1">
        <f t="shared" si="5"/>
        <v>1300.806</v>
      </c>
      <c r="L11" s="1">
        <f t="shared" si="6"/>
        <v>9425.7363822582665</v>
      </c>
      <c r="M11" s="1">
        <f t="shared" si="7"/>
        <v>8124.930382258266</v>
      </c>
      <c r="N11" s="1">
        <f t="shared" si="8"/>
        <v>12.388138952085404</v>
      </c>
      <c r="O11" s="3">
        <f t="shared" si="9"/>
        <v>81.287000997935721</v>
      </c>
      <c r="P11" s="3">
        <f t="shared" si="10"/>
        <v>1928.5104655224575</v>
      </c>
      <c r="Q11" s="3">
        <f t="shared" si="11"/>
        <v>20758.313888570894</v>
      </c>
      <c r="R11" s="3">
        <f t="shared" ref="R11:R18" si="13">P11*$R$5</f>
        <v>752.11908155375841</v>
      </c>
      <c r="S11" s="5">
        <f t="shared" si="12"/>
        <v>7372.8113007045076</v>
      </c>
      <c r="T11" s="26">
        <f t="shared" ref="T11:T18" si="14">S11-$J$3*9.81</f>
        <v>407.71130070450727</v>
      </c>
    </row>
    <row r="12" spans="2:20" x14ac:dyDescent="0.2">
      <c r="B12" s="30">
        <v>21300</v>
      </c>
      <c r="C12" s="3">
        <f t="shared" si="0"/>
        <v>69881.889763779531</v>
      </c>
      <c r="D12">
        <v>217.9</v>
      </c>
      <c r="E12">
        <v>4.4538800000000003E-2</v>
      </c>
      <c r="F12" s="1">
        <f t="shared" si="1"/>
        <v>4512.8939100000007</v>
      </c>
      <c r="G12">
        <f t="shared" si="2"/>
        <v>9.9571387501323841E-3</v>
      </c>
      <c r="H12">
        <f t="shared" si="3"/>
        <v>7.2150163037621604E-2</v>
      </c>
      <c r="I12" s="4">
        <v>138.24349934687393</v>
      </c>
      <c r="J12" s="1">
        <f t="shared" si="4"/>
        <v>13883.857884880426</v>
      </c>
      <c r="K12" s="1">
        <f t="shared" si="5"/>
        <v>1356.1687285928333</v>
      </c>
      <c r="L12" s="1">
        <f t="shared" si="6"/>
        <v>9826.8988039557044</v>
      </c>
      <c r="M12" s="1">
        <f t="shared" si="7"/>
        <v>8470.7300753628715</v>
      </c>
      <c r="N12" s="1">
        <f t="shared" si="8"/>
        <v>14.909869768709179</v>
      </c>
      <c r="O12" s="3">
        <f t="shared" si="9"/>
        <v>97.833791133262324</v>
      </c>
      <c r="P12" s="3">
        <f t="shared" si="10"/>
        <v>2793.5571739234069</v>
      </c>
      <c r="Q12" s="3">
        <f t="shared" si="11"/>
        <v>30069.599164068331</v>
      </c>
      <c r="R12" s="3">
        <f t="shared" si="13"/>
        <v>1089.4872978301287</v>
      </c>
      <c r="S12" s="5">
        <f t="shared" si="12"/>
        <v>7381.2427775327433</v>
      </c>
      <c r="T12" s="26">
        <f t="shared" si="14"/>
        <v>416.14277753274291</v>
      </c>
    </row>
    <row r="13" spans="2:20" x14ac:dyDescent="0.2">
      <c r="B13" s="30">
        <v>24500</v>
      </c>
      <c r="C13" s="3">
        <f t="shared" si="0"/>
        <v>80380.577427821525</v>
      </c>
      <c r="D13">
        <v>221.2</v>
      </c>
      <c r="E13">
        <v>2.6669999999999999E-2</v>
      </c>
      <c r="F13" s="1">
        <f t="shared" si="1"/>
        <v>2702.3377500000001</v>
      </c>
      <c r="G13">
        <f t="shared" si="2"/>
        <v>5.8734215250730287E-3</v>
      </c>
      <c r="H13">
        <f t="shared" si="3"/>
        <v>4.2559246311302132E-2</v>
      </c>
      <c r="I13" s="4">
        <v>147.19999999999999</v>
      </c>
      <c r="J13" s="1">
        <f t="shared" si="4"/>
        <v>25062.052735636022</v>
      </c>
      <c r="K13" s="1">
        <f t="shared" si="5"/>
        <v>1444.0319999999999</v>
      </c>
      <c r="L13" s="1">
        <f t="shared" si="6"/>
        <v>10463.562560093642</v>
      </c>
      <c r="M13" s="1">
        <f t="shared" si="7"/>
        <v>9019.5305600936426</v>
      </c>
      <c r="N13" s="1">
        <f t="shared" si="8"/>
        <v>18.154153785094781</v>
      </c>
      <c r="O13" s="3">
        <f t="shared" si="9"/>
        <v>119.12174399668491</v>
      </c>
      <c r="P13" s="3">
        <f t="shared" si="10"/>
        <v>4141.5402280352309</v>
      </c>
      <c r="Q13" s="3">
        <f t="shared" si="11"/>
        <v>44579.168001770777</v>
      </c>
      <c r="R13" s="3">
        <f t="shared" si="13"/>
        <v>1615.2006889337401</v>
      </c>
      <c r="S13" s="5">
        <f t="shared" si="12"/>
        <v>7404.3298711599027</v>
      </c>
      <c r="T13" s="26">
        <f t="shared" si="14"/>
        <v>439.22987115990236</v>
      </c>
    </row>
    <row r="14" spans="2:20" x14ac:dyDescent="0.2">
      <c r="B14" s="30">
        <v>27500</v>
      </c>
      <c r="C14" s="3">
        <f t="shared" si="0"/>
        <v>90223.097112860894</v>
      </c>
      <c r="D14">
        <v>224.2</v>
      </c>
      <c r="E14">
        <v>1.6889999999999999E-2</v>
      </c>
      <c r="F14" s="1">
        <f t="shared" si="1"/>
        <v>1711.37925</v>
      </c>
      <c r="G14">
        <f t="shared" si="2"/>
        <v>3.66984159490153E-3</v>
      </c>
      <c r="H14">
        <f t="shared" si="3"/>
        <v>2.6591943332201769E-2</v>
      </c>
      <c r="I14" s="4">
        <v>159.19999999999999</v>
      </c>
      <c r="J14" s="1">
        <f t="shared" si="4"/>
        <v>43380.618994883807</v>
      </c>
      <c r="K14" s="1">
        <f t="shared" si="5"/>
        <v>1561.752</v>
      </c>
      <c r="L14" s="1">
        <f t="shared" si="6"/>
        <v>11316.570377492581</v>
      </c>
      <c r="M14" s="1">
        <f t="shared" si="7"/>
        <v>9754.8183774925801</v>
      </c>
      <c r="N14" s="1">
        <f t="shared" si="8"/>
        <v>21.797283785486215</v>
      </c>
      <c r="O14" s="3">
        <f t="shared" si="9"/>
        <v>143.02679649269169</v>
      </c>
      <c r="P14" s="3">
        <f t="shared" si="10"/>
        <v>5970.5538665008635</v>
      </c>
      <c r="Q14" s="3">
        <f t="shared" si="11"/>
        <v>64266.50695715515</v>
      </c>
      <c r="R14" s="3">
        <f t="shared" si="13"/>
        <v>2328.5160079353368</v>
      </c>
      <c r="S14" s="5">
        <f t="shared" si="12"/>
        <v>7426.3023695572429</v>
      </c>
      <c r="T14" s="26">
        <f t="shared" si="14"/>
        <v>461.20236955724249</v>
      </c>
    </row>
    <row r="15" spans="2:20" x14ac:dyDescent="0.2">
      <c r="B15" s="30">
        <v>30500</v>
      </c>
      <c r="C15" s="3">
        <f t="shared" si="0"/>
        <v>100065.61679790026</v>
      </c>
      <c r="D15">
        <v>227.2</v>
      </c>
      <c r="E15">
        <v>1.073E-2</v>
      </c>
      <c r="F15" s="1">
        <f t="shared" si="1"/>
        <v>1087.2172499999999</v>
      </c>
      <c r="G15">
        <f t="shared" si="2"/>
        <v>2.3006188422602923E-3</v>
      </c>
      <c r="H15">
        <f t="shared" si="3"/>
        <v>1.6670454105532823E-2</v>
      </c>
      <c r="I15" s="4">
        <v>177.5</v>
      </c>
      <c r="J15" s="1">
        <f t="shared" si="4"/>
        <v>77153.154072932535</v>
      </c>
      <c r="K15" s="1">
        <f t="shared" si="5"/>
        <v>1741.2750000000001</v>
      </c>
      <c r="L15" s="1">
        <f t="shared" si="6"/>
        <v>12617.407299025963</v>
      </c>
      <c r="M15" s="1">
        <f t="shared" si="7"/>
        <v>10876.132299025963</v>
      </c>
      <c r="N15" s="1">
        <f t="shared" si="8"/>
        <v>26.40918660277142</v>
      </c>
      <c r="O15" s="3">
        <f t="shared" si="9"/>
        <v>173.28862600243713</v>
      </c>
      <c r="P15" s="3">
        <f t="shared" si="10"/>
        <v>8764.3540749758522</v>
      </c>
      <c r="Q15" s="3">
        <f t="shared" si="11"/>
        <v>94338.722123364874</v>
      </c>
      <c r="R15" s="3">
        <f t="shared" si="13"/>
        <v>3418.0980892405823</v>
      </c>
      <c r="S15" s="5">
        <f t="shared" si="12"/>
        <v>7458.0342097853809</v>
      </c>
      <c r="T15" s="26">
        <f t="shared" si="14"/>
        <v>492.93420978538052</v>
      </c>
    </row>
    <row r="16" spans="2:20" x14ac:dyDescent="0.2">
      <c r="B16" s="30">
        <v>33500</v>
      </c>
      <c r="C16" s="3">
        <f t="shared" si="0"/>
        <v>109908.13648293963</v>
      </c>
      <c r="D16">
        <v>232.9</v>
      </c>
      <c r="E16">
        <v>6.8609999999999999E-3</v>
      </c>
      <c r="F16" s="1">
        <f t="shared" si="1"/>
        <v>695.19082500000002</v>
      </c>
      <c r="G16">
        <f t="shared" si="2"/>
        <v>1.4350637963635763E-3</v>
      </c>
      <c r="H16">
        <f t="shared" si="3"/>
        <v>1.0398578293954538E-2</v>
      </c>
      <c r="I16" s="4">
        <v>207.4</v>
      </c>
      <c r="J16" s="1">
        <f t="shared" si="4"/>
        <v>144523.19159994667</v>
      </c>
      <c r="K16" s="1">
        <f t="shared" si="5"/>
        <v>2034.5940000000001</v>
      </c>
      <c r="L16" s="1">
        <f t="shared" si="6"/>
        <v>14742.818444044979</v>
      </c>
      <c r="M16" s="1">
        <f t="shared" si="7"/>
        <v>12708.224444044979</v>
      </c>
      <c r="N16" s="1">
        <f t="shared" si="8"/>
        <v>32.554895941259069</v>
      </c>
      <c r="O16" s="3">
        <f t="shared" si="9"/>
        <v>213.61480276416711</v>
      </c>
      <c r="P16" s="3">
        <f t="shared" si="10"/>
        <v>13318.106609284139</v>
      </c>
      <c r="Q16" s="3">
        <f t="shared" si="11"/>
        <v>143354.90646252414</v>
      </c>
      <c r="R16" s="3">
        <f t="shared" si="13"/>
        <v>5194.0615776208142</v>
      </c>
      <c r="S16" s="5">
        <f t="shared" si="12"/>
        <v>7514.1628664241653</v>
      </c>
      <c r="T16" s="26">
        <f t="shared" si="14"/>
        <v>549.06286642416489</v>
      </c>
    </row>
    <row r="17" spans="2:22" x14ac:dyDescent="0.2">
      <c r="B17" s="30">
        <v>35000</v>
      </c>
      <c r="C17" s="3">
        <f t="shared" si="0"/>
        <v>114829.39632545931</v>
      </c>
      <c r="D17">
        <v>236.5</v>
      </c>
      <c r="E17">
        <v>5.6707900000000002E-3</v>
      </c>
      <c r="F17" s="1">
        <f t="shared" si="1"/>
        <v>574.59279675000005</v>
      </c>
      <c r="G17">
        <f t="shared" si="2"/>
        <v>1.1680614668035454E-3</v>
      </c>
      <c r="H17">
        <f t="shared" si="3"/>
        <v>8.4638596872739918E-3</v>
      </c>
      <c r="I17" s="4">
        <v>226.08564308567637</v>
      </c>
      <c r="J17" s="1">
        <f t="shared" si="4"/>
        <v>193556.28921170582</v>
      </c>
      <c r="K17" s="1">
        <f t="shared" si="5"/>
        <v>2217.9001586704853</v>
      </c>
      <c r="L17" s="1">
        <f t="shared" si="6"/>
        <v>16071.068412812339</v>
      </c>
      <c r="M17" s="1">
        <f t="shared" si="7"/>
        <v>13853.168254141854</v>
      </c>
      <c r="N17" s="1">
        <f t="shared" si="8"/>
        <v>35.884444367185161</v>
      </c>
      <c r="O17" s="3">
        <f t="shared" si="9"/>
        <v>235.46223338048006</v>
      </c>
      <c r="P17" s="3">
        <f t="shared" si="10"/>
        <v>16181.631842852639</v>
      </c>
      <c r="Q17" s="3">
        <f t="shared" si="11"/>
        <v>174177.63555264325</v>
      </c>
      <c r="R17" s="3">
        <f t="shared" si="13"/>
        <v>6310.8364187125298</v>
      </c>
      <c r="S17" s="5">
        <f t="shared" si="12"/>
        <v>7542.3318354293242</v>
      </c>
      <c r="T17" s="26">
        <f t="shared" si="14"/>
        <v>577.23183542932384</v>
      </c>
      <c r="U17">
        <f>N17*2</f>
        <v>71.768888734370321</v>
      </c>
      <c r="V17">
        <f>R17/9.81</f>
        <v>643.30646470056365</v>
      </c>
    </row>
    <row r="18" spans="2:22" x14ac:dyDescent="0.2">
      <c r="B18" s="30">
        <v>36500</v>
      </c>
      <c r="C18" s="3">
        <f t="shared" si="0"/>
        <v>119750.656167979</v>
      </c>
      <c r="D18">
        <v>241.3</v>
      </c>
      <c r="E18">
        <v>4.4520000000000002E-3</v>
      </c>
      <c r="F18" s="1">
        <f t="shared" si="1"/>
        <v>451.09890000000001</v>
      </c>
      <c r="G18">
        <f t="shared" si="2"/>
        <v>8.987752637954669E-4</v>
      </c>
      <c r="H18">
        <f t="shared" si="3"/>
        <v>6.5125919648515631E-3</v>
      </c>
      <c r="I18" s="4">
        <v>258</v>
      </c>
      <c r="J18" s="1">
        <f t="shared" si="4"/>
        <v>287057.29940817854</v>
      </c>
      <c r="K18" s="1">
        <f t="shared" si="5"/>
        <v>2530.98</v>
      </c>
      <c r="L18" s="1">
        <f t="shared" si="6"/>
        <v>18339.66807407717</v>
      </c>
      <c r="M18" s="1">
        <f t="shared" si="7"/>
        <v>15808.68807407717</v>
      </c>
      <c r="N18" s="1">
        <f t="shared" si="8"/>
        <v>40.922296259792795</v>
      </c>
      <c r="O18" s="3">
        <f t="shared" si="9"/>
        <v>268.51900432934906</v>
      </c>
      <c r="P18" s="3">
        <f t="shared" si="10"/>
        <v>21044.07564906514</v>
      </c>
      <c r="Q18" s="3">
        <f t="shared" si="11"/>
        <v>226516.54508899967</v>
      </c>
      <c r="R18" s="3">
        <f t="shared" si="13"/>
        <v>8207.1895031354052</v>
      </c>
      <c r="S18" s="5">
        <f t="shared" si="12"/>
        <v>7601.4985709417651</v>
      </c>
      <c r="T18" s="26">
        <f t="shared" si="14"/>
        <v>636.39857094176477</v>
      </c>
    </row>
    <row r="21" spans="2:22" x14ac:dyDescent="0.2">
      <c r="C21" s="20" t="s">
        <v>80</v>
      </c>
    </row>
    <row r="22" spans="2:22" x14ac:dyDescent="0.2">
      <c r="C22" s="20" t="s">
        <v>77</v>
      </c>
    </row>
    <row r="23" spans="2:22" x14ac:dyDescent="0.2">
      <c r="C23" s="20"/>
    </row>
    <row r="24" spans="2:22" x14ac:dyDescent="0.2">
      <c r="C24" s="2" t="s">
        <v>21</v>
      </c>
    </row>
    <row r="25" spans="2:22" x14ac:dyDescent="0.2">
      <c r="B25" s="21" t="s">
        <v>62</v>
      </c>
      <c r="C25" s="2" t="s">
        <v>23</v>
      </c>
      <c r="D25" s="2"/>
      <c r="E25" s="2" t="s">
        <v>31</v>
      </c>
      <c r="F25" s="2"/>
      <c r="J25" s="22" t="s">
        <v>65</v>
      </c>
      <c r="K25" s="22" t="s">
        <v>72</v>
      </c>
      <c r="L25" s="22" t="s">
        <v>72</v>
      </c>
    </row>
    <row r="26" spans="2:22" x14ac:dyDescent="0.2">
      <c r="B26" s="2" t="s">
        <v>21</v>
      </c>
      <c r="C26" s="2" t="s">
        <v>24</v>
      </c>
      <c r="D26" s="2" t="s">
        <v>21</v>
      </c>
      <c r="E26" s="2" t="s">
        <v>22</v>
      </c>
      <c r="F26" s="21" t="s">
        <v>11</v>
      </c>
      <c r="G26" s="2" t="s">
        <v>41</v>
      </c>
      <c r="H26" s="21" t="s">
        <v>62</v>
      </c>
      <c r="J26" s="22" t="s">
        <v>66</v>
      </c>
      <c r="K26" s="22" t="s">
        <v>73</v>
      </c>
      <c r="L26" s="22" t="s">
        <v>73</v>
      </c>
    </row>
    <row r="27" spans="2:22" x14ac:dyDescent="0.2">
      <c r="B27" s="2" t="s">
        <v>14</v>
      </c>
      <c r="C27" s="2" t="s">
        <v>25</v>
      </c>
      <c r="D27" s="2" t="s">
        <v>8</v>
      </c>
      <c r="E27" s="2" t="s">
        <v>8</v>
      </c>
      <c r="F27" s="21" t="s">
        <v>71</v>
      </c>
      <c r="G27" s="2" t="s">
        <v>8</v>
      </c>
      <c r="H27" s="25" t="s">
        <v>9</v>
      </c>
      <c r="I27" s="2" t="s">
        <v>38</v>
      </c>
      <c r="J27" s="24" t="s">
        <v>67</v>
      </c>
      <c r="K27" s="21" t="s">
        <v>76</v>
      </c>
      <c r="L27" s="21" t="s">
        <v>76</v>
      </c>
    </row>
    <row r="28" spans="2:22" ht="14.25" x14ac:dyDescent="0.2">
      <c r="B28" s="2" t="s">
        <v>29</v>
      </c>
      <c r="C28" s="22" t="s">
        <v>64</v>
      </c>
      <c r="D28" s="2" t="s">
        <v>30</v>
      </c>
      <c r="E28" s="2" t="s">
        <v>30</v>
      </c>
      <c r="F28" s="21" t="s">
        <v>30</v>
      </c>
      <c r="G28" s="2" t="s">
        <v>30</v>
      </c>
      <c r="H28" s="25" t="s">
        <v>30</v>
      </c>
      <c r="I28" s="2" t="s">
        <v>16</v>
      </c>
      <c r="J28" s="22" t="s">
        <v>68</v>
      </c>
      <c r="K28" s="24" t="s">
        <v>74</v>
      </c>
      <c r="L28" s="24" t="s">
        <v>75</v>
      </c>
    </row>
    <row r="29" spans="2:22" x14ac:dyDescent="0.2">
      <c r="B29">
        <f>$F$5/($C$5*$G$5)</f>
        <v>0.16902825228206908</v>
      </c>
      <c r="C29">
        <f t="shared" ref="C29:C37" si="15">I10/B29</f>
        <v>766.14411053540584</v>
      </c>
      <c r="D29" s="1">
        <f>K10</f>
        <v>1270.395</v>
      </c>
      <c r="E29" s="1">
        <f>$H$5*C29*9.81</f>
        <v>9206.9453123316071</v>
      </c>
      <c r="F29" s="1">
        <f t="shared" ref="F29" si="16">E29-D29</f>
        <v>7936.5503123316066</v>
      </c>
      <c r="G29" s="3">
        <f>R10</f>
        <v>569.11566275990936</v>
      </c>
      <c r="H29" s="26">
        <f>F29-G29-$J$3*9.81</f>
        <v>402.3346495716969</v>
      </c>
      <c r="I29" s="1">
        <f>POWER((3*C29/(PI()*4)),1/3)</f>
        <v>5.6764125650430923</v>
      </c>
      <c r="J29">
        <f>PI()*I29^2</f>
        <v>101.22732911278305</v>
      </c>
      <c r="K29">
        <f>SQRT((2*H29)/($H$5*J29*$M$5))</f>
        <v>5.0947370980375011</v>
      </c>
      <c r="L29" s="29">
        <f>K29*196.8504</f>
        <v>1002.9010356435214</v>
      </c>
    </row>
    <row r="30" spans="2:22" x14ac:dyDescent="0.2">
      <c r="B30">
        <f t="shared" ref="B30:B37" si="17">$F$5/($C$5*$G$5)</f>
        <v>0.16902825228206908</v>
      </c>
      <c r="C30">
        <f t="shared" si="15"/>
        <v>784.48423982235374</v>
      </c>
      <c r="D30" s="1">
        <f t="shared" ref="D30:D37" si="18">K11</f>
        <v>1300.806</v>
      </c>
      <c r="E30" s="1">
        <f t="shared" ref="E30:E37" si="19">$H$5*C30*9.81</f>
        <v>9427.3432310051812</v>
      </c>
      <c r="F30" s="1">
        <f t="shared" ref="F30:F37" si="20">E30-D30</f>
        <v>8126.5372310051807</v>
      </c>
      <c r="G30" s="3">
        <f t="shared" ref="G30:G37" si="21">R11</f>
        <v>752.11908155375841</v>
      </c>
      <c r="H30" s="26">
        <f t="shared" ref="H30:H37" si="22">F30-G30-$J$3*9.81</f>
        <v>409.31814945142196</v>
      </c>
      <c r="I30" s="1">
        <f t="shared" ref="I30:I37" si="23">POWER((3*C30/(PI()*4)),1/3)</f>
        <v>5.7213502853474818</v>
      </c>
      <c r="J30">
        <f t="shared" ref="J30:J37" si="24">PI()*I30^2</f>
        <v>102.83641981746472</v>
      </c>
      <c r="K30">
        <f t="shared" ref="K30:K37" si="25">SQRT((2*H30)/($H$5*J30*$M$5))</f>
        <v>5.0984008263611482</v>
      </c>
      <c r="L30" s="29">
        <f t="shared" ref="L30:L37" si="26">K30*196.8504</f>
        <v>1003.6222420295226</v>
      </c>
    </row>
    <row r="31" spans="2:22" x14ac:dyDescent="0.2">
      <c r="B31">
        <f t="shared" si="17"/>
        <v>0.16902825228206908</v>
      </c>
      <c r="C31">
        <f t="shared" si="15"/>
        <v>817.87214551670024</v>
      </c>
      <c r="D31" s="1">
        <f t="shared" si="18"/>
        <v>1356.1687285928333</v>
      </c>
      <c r="E31" s="1">
        <f t="shared" si="19"/>
        <v>9828.5740407105677</v>
      </c>
      <c r="F31" s="1">
        <f t="shared" si="20"/>
        <v>8472.4053121177349</v>
      </c>
      <c r="G31" s="3">
        <f t="shared" si="21"/>
        <v>1089.4872978301287</v>
      </c>
      <c r="H31" s="26">
        <f t="shared" si="22"/>
        <v>417.81801428760627</v>
      </c>
      <c r="I31" s="1">
        <f t="shared" si="23"/>
        <v>5.8013927705988948</v>
      </c>
      <c r="J31">
        <f t="shared" si="24"/>
        <v>105.73393896828014</v>
      </c>
      <c r="K31">
        <f t="shared" si="25"/>
        <v>5.0799954551392865</v>
      </c>
      <c r="L31" s="29">
        <f t="shared" si="26"/>
        <v>999.99913734235065</v>
      </c>
    </row>
    <row r="32" spans="2:22" x14ac:dyDescent="0.2">
      <c r="B32">
        <f t="shared" si="17"/>
        <v>0.16902825228206908</v>
      </c>
      <c r="C32">
        <f t="shared" si="15"/>
        <v>870.86033259314081</v>
      </c>
      <c r="D32" s="1">
        <f t="shared" si="18"/>
        <v>1444.0319999999999</v>
      </c>
      <c r="E32" s="1">
        <f t="shared" si="19"/>
        <v>10465.346331854922</v>
      </c>
      <c r="F32" s="1">
        <f t="shared" si="20"/>
        <v>9021.3143318549228</v>
      </c>
      <c r="G32" s="3">
        <f t="shared" si="21"/>
        <v>1615.2006889337401</v>
      </c>
      <c r="H32" s="26">
        <f t="shared" si="22"/>
        <v>441.01364292118251</v>
      </c>
      <c r="I32" s="1">
        <f t="shared" si="23"/>
        <v>5.9240670670523548</v>
      </c>
      <c r="J32">
        <f t="shared" si="24"/>
        <v>110.25284522476579</v>
      </c>
      <c r="K32">
        <f t="shared" si="25"/>
        <v>5.1110256276074502</v>
      </c>
      <c r="L32" s="29">
        <f t="shared" si="26"/>
        <v>1006.1074392047776</v>
      </c>
    </row>
    <row r="33" spans="2:12" x14ac:dyDescent="0.2">
      <c r="B33">
        <f t="shared" si="17"/>
        <v>0.16902825228206908</v>
      </c>
      <c r="C33">
        <f t="shared" si="15"/>
        <v>941.85438144584248</v>
      </c>
      <c r="D33" s="1">
        <f t="shared" si="18"/>
        <v>1561.752</v>
      </c>
      <c r="E33" s="1">
        <f t="shared" si="19"/>
        <v>11318.499565430051</v>
      </c>
      <c r="F33" s="1">
        <f t="shared" si="20"/>
        <v>9756.7475654300506</v>
      </c>
      <c r="G33" s="3">
        <f t="shared" si="21"/>
        <v>2328.5160079353368</v>
      </c>
      <c r="H33" s="26">
        <f t="shared" si="22"/>
        <v>463.13155749471298</v>
      </c>
      <c r="I33" s="1">
        <f t="shared" si="23"/>
        <v>6.080860648305034</v>
      </c>
      <c r="J33">
        <f t="shared" si="24"/>
        <v>116.16625128241994</v>
      </c>
      <c r="K33">
        <f t="shared" si="25"/>
        <v>5.1025720878571983</v>
      </c>
      <c r="L33" s="29">
        <f t="shared" si="26"/>
        <v>1004.4433565235247</v>
      </c>
    </row>
    <row r="34" spans="2:12" x14ac:dyDescent="0.2">
      <c r="B34">
        <f t="shared" si="17"/>
        <v>0.16902825228206908</v>
      </c>
      <c r="C34">
        <f t="shared" si="15"/>
        <v>1050.1203059462127</v>
      </c>
      <c r="D34" s="1">
        <f t="shared" si="18"/>
        <v>1741.2750000000001</v>
      </c>
      <c r="E34" s="1">
        <f t="shared" si="19"/>
        <v>12619.558246632127</v>
      </c>
      <c r="F34" s="1">
        <f t="shared" si="20"/>
        <v>10878.283246632127</v>
      </c>
      <c r="G34" s="3">
        <f t="shared" si="21"/>
        <v>3418.0980892405823</v>
      </c>
      <c r="H34" s="26">
        <f t="shared" si="22"/>
        <v>495.08515739154427</v>
      </c>
      <c r="I34" s="1">
        <f t="shared" si="23"/>
        <v>6.3054605910365007</v>
      </c>
      <c r="J34">
        <f t="shared" si="24"/>
        <v>124.90605850098481</v>
      </c>
      <c r="K34">
        <f t="shared" si="25"/>
        <v>5.0877428227172485</v>
      </c>
      <c r="L34" s="29">
        <f t="shared" si="26"/>
        <v>1001.5242097490195</v>
      </c>
    </row>
    <row r="35" spans="2:12" x14ac:dyDescent="0.2">
      <c r="B35">
        <f t="shared" si="17"/>
        <v>0.16902825228206908</v>
      </c>
      <c r="C35">
        <f t="shared" si="15"/>
        <v>1227.0138110041944</v>
      </c>
      <c r="D35" s="1">
        <f t="shared" si="18"/>
        <v>2034.5940000000001</v>
      </c>
      <c r="E35" s="1">
        <f t="shared" si="19"/>
        <v>14745.331720290156</v>
      </c>
      <c r="F35" s="1">
        <f t="shared" si="20"/>
        <v>12710.737720290155</v>
      </c>
      <c r="G35" s="3">
        <f t="shared" si="21"/>
        <v>5194.0615776208142</v>
      </c>
      <c r="H35" s="26">
        <f t="shared" si="22"/>
        <v>551.5761426693407</v>
      </c>
      <c r="I35" s="1">
        <f t="shared" si="23"/>
        <v>6.6413078807593227</v>
      </c>
      <c r="J35">
        <f t="shared" si="24"/>
        <v>138.56613407718262</v>
      </c>
      <c r="K35">
        <f t="shared" si="25"/>
        <v>5.0986022765727439</v>
      </c>
      <c r="L35" s="29">
        <f t="shared" si="26"/>
        <v>1003.6618975842553</v>
      </c>
    </row>
    <row r="36" spans="2:12" x14ac:dyDescent="0.2">
      <c r="B36">
        <f t="shared" si="17"/>
        <v>0.16902825228206908</v>
      </c>
      <c r="C36">
        <f t="shared" si="15"/>
        <v>1337.561265843249</v>
      </c>
      <c r="D36" s="1">
        <f t="shared" si="18"/>
        <v>2217.9001586704853</v>
      </c>
      <c r="E36" s="1">
        <f t="shared" si="19"/>
        <v>16073.808121954784</v>
      </c>
      <c r="F36" s="1">
        <f t="shared" si="20"/>
        <v>13855.907963284299</v>
      </c>
      <c r="G36" s="3">
        <f t="shared" si="21"/>
        <v>6310.8364187125298</v>
      </c>
      <c r="H36" s="26">
        <f t="shared" si="22"/>
        <v>579.97154457176839</v>
      </c>
      <c r="I36" s="1">
        <f t="shared" si="23"/>
        <v>6.8350499301538079</v>
      </c>
      <c r="J36">
        <f t="shared" si="24"/>
        <v>146.76863514292756</v>
      </c>
      <c r="K36">
        <f t="shared" si="25"/>
        <v>5.0799994398491837</v>
      </c>
      <c r="L36" s="29">
        <f t="shared" si="26"/>
        <v>999.99992173408782</v>
      </c>
    </row>
    <row r="37" spans="2:12" x14ac:dyDescent="0.2">
      <c r="B37">
        <f t="shared" si="17"/>
        <v>0.16902825228206908</v>
      </c>
      <c r="C37">
        <f t="shared" si="15"/>
        <v>1526.3720503330865</v>
      </c>
      <c r="D37" s="1">
        <f t="shared" si="18"/>
        <v>2530.98</v>
      </c>
      <c r="E37" s="1">
        <f t="shared" si="19"/>
        <v>18342.794521865286</v>
      </c>
      <c r="F37" s="1">
        <f t="shared" si="20"/>
        <v>15811.814521865286</v>
      </c>
      <c r="G37" s="3">
        <f t="shared" si="21"/>
        <v>8207.1895031354052</v>
      </c>
      <c r="H37" s="26">
        <f t="shared" si="22"/>
        <v>639.52501872988068</v>
      </c>
      <c r="I37" s="1">
        <f t="shared" si="23"/>
        <v>7.1426153904393175</v>
      </c>
      <c r="J37">
        <f t="shared" si="24"/>
        <v>160.27448982933456</v>
      </c>
      <c r="K37">
        <f t="shared" si="25"/>
        <v>5.104738707927706</v>
      </c>
      <c r="L37" s="29">
        <f t="shared" si="26"/>
        <v>1004.8698565510522</v>
      </c>
    </row>
  </sheetData>
  <phoneticPr fontId="0" type="noConversion"/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37"/>
  <sheetViews>
    <sheetView topLeftCell="B1" zoomScale="75" workbookViewId="0">
      <selection activeCell="J2" sqref="J2"/>
    </sheetView>
  </sheetViews>
  <sheetFormatPr defaultRowHeight="12.75" x14ac:dyDescent="0.2"/>
  <cols>
    <col min="2" max="2" width="12.85546875" customWidth="1"/>
    <col min="3" max="3" width="10.42578125" customWidth="1"/>
    <col min="4" max="4" width="11.7109375" customWidth="1"/>
    <col min="6" max="6" width="10.140625" customWidth="1"/>
    <col min="7" max="7" width="11.7109375" customWidth="1"/>
    <col min="8" max="8" width="8.85546875" customWidth="1"/>
    <col min="9" max="9" width="8.7109375" customWidth="1"/>
    <col min="10" max="10" width="10.7109375" customWidth="1"/>
    <col min="14" max="14" width="7.28515625" customWidth="1"/>
    <col min="16" max="16" width="8.28515625" customWidth="1"/>
    <col min="17" max="17" width="10.42578125" customWidth="1"/>
    <col min="18" max="19" width="10.7109375" customWidth="1"/>
  </cols>
  <sheetData>
    <row r="1" spans="2:20" ht="20.25" x14ac:dyDescent="0.3">
      <c r="B1" s="32" t="s">
        <v>60</v>
      </c>
    </row>
    <row r="2" spans="2:20" ht="20.25" x14ac:dyDescent="0.3">
      <c r="B2" s="33" t="s">
        <v>82</v>
      </c>
      <c r="J2" s="35" t="s">
        <v>79</v>
      </c>
      <c r="R2" s="4" t="s">
        <v>3</v>
      </c>
    </row>
    <row r="3" spans="2:20" x14ac:dyDescent="0.2">
      <c r="C3" s="2"/>
      <c r="D3" s="2"/>
      <c r="E3" s="2"/>
      <c r="F3" s="2" t="s">
        <v>35</v>
      </c>
      <c r="G3" s="21" t="s">
        <v>61</v>
      </c>
      <c r="H3" s="21" t="s">
        <v>61</v>
      </c>
      <c r="I3" s="2"/>
      <c r="J3" s="19">
        <v>710</v>
      </c>
      <c r="M3" s="28" t="s">
        <v>3</v>
      </c>
      <c r="R3" s="4" t="s">
        <v>10</v>
      </c>
    </row>
    <row r="4" spans="2:20" x14ac:dyDescent="0.2">
      <c r="C4" s="21" t="s">
        <v>58</v>
      </c>
      <c r="D4" s="2" t="s">
        <v>0</v>
      </c>
      <c r="E4" s="2"/>
      <c r="F4" s="2" t="s">
        <v>20</v>
      </c>
      <c r="G4" s="23" t="s">
        <v>63</v>
      </c>
      <c r="H4" s="21" t="s">
        <v>14</v>
      </c>
      <c r="I4" s="2"/>
      <c r="J4" s="2"/>
      <c r="M4" s="28" t="s">
        <v>69</v>
      </c>
      <c r="R4" s="4" t="s">
        <v>7</v>
      </c>
    </row>
    <row r="5" spans="2:20" x14ac:dyDescent="0.2">
      <c r="C5" s="2">
        <v>4124</v>
      </c>
      <c r="D5" s="2">
        <v>287.05200000000002</v>
      </c>
      <c r="E5" s="2"/>
      <c r="F5" s="9">
        <v>101325</v>
      </c>
      <c r="G5" s="2">
        <v>288.2</v>
      </c>
      <c r="H5" s="2">
        <v>1.2250000000000001</v>
      </c>
      <c r="I5" s="2"/>
      <c r="J5" s="2"/>
      <c r="M5" s="28">
        <v>0.25</v>
      </c>
      <c r="R5" s="4">
        <v>0.39</v>
      </c>
    </row>
    <row r="6" spans="2:20" x14ac:dyDescent="0.2">
      <c r="C6" s="2"/>
      <c r="D6" s="2"/>
      <c r="E6" s="2"/>
      <c r="F6" s="2"/>
      <c r="G6" s="2"/>
      <c r="H6" s="2"/>
      <c r="I6" s="6" t="s">
        <v>78</v>
      </c>
      <c r="J6" s="2" t="s">
        <v>59</v>
      </c>
      <c r="K6" s="2"/>
      <c r="L6" s="2" t="s">
        <v>31</v>
      </c>
      <c r="M6" s="2"/>
      <c r="N6" s="2"/>
      <c r="O6" s="2"/>
      <c r="P6" s="2"/>
      <c r="Q6" s="2"/>
      <c r="R6" s="2"/>
      <c r="S6" s="2"/>
    </row>
    <row r="7" spans="2:20" x14ac:dyDescent="0.2">
      <c r="B7" s="21" t="s">
        <v>81</v>
      </c>
      <c r="C7" s="21" t="s">
        <v>81</v>
      </c>
      <c r="D7" s="2"/>
      <c r="E7" s="2"/>
      <c r="F7" s="2"/>
      <c r="G7" s="2" t="s">
        <v>59</v>
      </c>
      <c r="H7" s="2" t="s">
        <v>22</v>
      </c>
      <c r="I7" s="6" t="s">
        <v>59</v>
      </c>
      <c r="J7" s="2" t="s">
        <v>23</v>
      </c>
      <c r="K7" s="2" t="s">
        <v>59</v>
      </c>
      <c r="L7" s="2" t="s">
        <v>22</v>
      </c>
      <c r="M7" s="7"/>
      <c r="N7" s="2"/>
      <c r="O7" s="2"/>
      <c r="P7" s="10" t="s">
        <v>4</v>
      </c>
      <c r="Q7" s="2"/>
      <c r="R7" s="2" t="s">
        <v>41</v>
      </c>
      <c r="S7" s="27" t="s">
        <v>70</v>
      </c>
    </row>
    <row r="8" spans="2:20" x14ac:dyDescent="0.2">
      <c r="B8" s="21" t="s">
        <v>17</v>
      </c>
      <c r="C8" s="2" t="s">
        <v>17</v>
      </c>
      <c r="D8" s="2" t="s">
        <v>18</v>
      </c>
      <c r="E8" s="2" t="s">
        <v>20</v>
      </c>
      <c r="F8" s="2" t="s">
        <v>20</v>
      </c>
      <c r="G8" s="2" t="s">
        <v>14</v>
      </c>
      <c r="H8" s="2" t="s">
        <v>14</v>
      </c>
      <c r="I8" s="6" t="s">
        <v>28</v>
      </c>
      <c r="J8" s="2" t="s">
        <v>24</v>
      </c>
      <c r="K8" s="2" t="s">
        <v>8</v>
      </c>
      <c r="L8" s="2" t="s">
        <v>8</v>
      </c>
      <c r="M8" s="2" t="s">
        <v>11</v>
      </c>
      <c r="N8" s="2" t="s">
        <v>38</v>
      </c>
      <c r="O8" s="2" t="s">
        <v>39</v>
      </c>
      <c r="P8" s="2" t="s">
        <v>36</v>
      </c>
      <c r="Q8" s="2" t="s">
        <v>36</v>
      </c>
      <c r="R8" s="2" t="s">
        <v>8</v>
      </c>
      <c r="S8" s="8" t="s">
        <v>71</v>
      </c>
      <c r="T8" s="25" t="s">
        <v>9</v>
      </c>
    </row>
    <row r="9" spans="2:20" ht="14.25" x14ac:dyDescent="0.2">
      <c r="B9" s="21" t="s">
        <v>5</v>
      </c>
      <c r="C9" s="2" t="s">
        <v>6</v>
      </c>
      <c r="D9" s="2" t="s">
        <v>19</v>
      </c>
      <c r="E9" s="2" t="s">
        <v>15</v>
      </c>
      <c r="F9" s="2" t="s">
        <v>13</v>
      </c>
      <c r="G9" s="2" t="s">
        <v>29</v>
      </c>
      <c r="H9" s="2" t="s">
        <v>29</v>
      </c>
      <c r="I9" s="6" t="s">
        <v>26</v>
      </c>
      <c r="J9" s="2" t="s">
        <v>25</v>
      </c>
      <c r="K9" s="2" t="s">
        <v>30</v>
      </c>
      <c r="L9" s="2" t="s">
        <v>30</v>
      </c>
      <c r="M9" s="2" t="s">
        <v>2</v>
      </c>
      <c r="N9" s="2" t="s">
        <v>16</v>
      </c>
      <c r="O9" s="2" t="s">
        <v>6</v>
      </c>
      <c r="P9" s="2" t="s">
        <v>5</v>
      </c>
      <c r="Q9" s="2" t="s">
        <v>6</v>
      </c>
      <c r="R9" s="2" t="s">
        <v>30</v>
      </c>
      <c r="S9" s="8" t="s">
        <v>30</v>
      </c>
      <c r="T9" s="25" t="s">
        <v>30</v>
      </c>
    </row>
    <row r="10" spans="2:20" x14ac:dyDescent="0.2">
      <c r="B10" s="30">
        <v>15500</v>
      </c>
      <c r="C10" s="3">
        <f t="shared" ref="C10:C18" si="0">B10/0.3048</f>
        <v>50853.018372703409</v>
      </c>
      <c r="D10">
        <v>216.7</v>
      </c>
      <c r="E10">
        <v>0.1099</v>
      </c>
      <c r="F10" s="1">
        <f t="shared" ref="F10:F18" si="1">$F$5*E10</f>
        <v>11135.6175</v>
      </c>
      <c r="G10">
        <f t="shared" ref="G10:G18" si="2">F10/($C$5*D10)</f>
        <v>1.2460536363054496E-2</v>
      </c>
      <c r="H10">
        <f t="shared" ref="H10:H18" si="3">F10/($D$5*D10)</f>
        <v>0.17901722322518823</v>
      </c>
      <c r="I10" s="4">
        <v>60.1</v>
      </c>
      <c r="J10" s="1">
        <f t="shared" ref="J10:J18" si="4">I10/G10</f>
        <v>4823.2273674989283</v>
      </c>
      <c r="K10" s="1">
        <f t="shared" ref="K10:K18" si="5">I10*9.81</f>
        <v>589.58100000000002</v>
      </c>
      <c r="L10" s="1">
        <f t="shared" ref="L10:L18" si="6">H10*J10*9.81</f>
        <v>8470.353956774381</v>
      </c>
      <c r="M10" s="1">
        <f t="shared" ref="M10:M18" si="7">L10-K10</f>
        <v>7880.7729567743809</v>
      </c>
      <c r="N10" s="1">
        <f t="shared" ref="N10:N18" si="8">POWER((3*J10/(PI()*4)),1/3)</f>
        <v>10.481329529326231</v>
      </c>
      <c r="O10" s="3">
        <f t="shared" ref="O10:O18" si="9">N10*2/0.3048</f>
        <v>68.775128145185235</v>
      </c>
      <c r="P10" s="3">
        <f t="shared" ref="P10:P18" si="10">4*PI()*(N10^2)</f>
        <v>1380.519719565284</v>
      </c>
      <c r="Q10" s="3">
        <f t="shared" ref="Q10:Q18" si="11">P10/(0.3048^2)</f>
        <v>14859.790589901944</v>
      </c>
      <c r="R10" s="3">
        <f>P10*$R$5</f>
        <v>538.40269063046082</v>
      </c>
      <c r="S10" s="5">
        <f t="shared" ref="S10:S18" si="12">M10-R10</f>
        <v>7342.3702661439202</v>
      </c>
      <c r="T10" s="26">
        <f>S10-$J$3*9.81</f>
        <v>377.2702661439198</v>
      </c>
    </row>
    <row r="11" spans="2:20" x14ac:dyDescent="0.2">
      <c r="B11" s="30">
        <v>18000</v>
      </c>
      <c r="C11" s="3">
        <f t="shared" si="0"/>
        <v>59055.118110236217</v>
      </c>
      <c r="D11">
        <v>216.7</v>
      </c>
      <c r="E11">
        <v>7.4069999999999997E-2</v>
      </c>
      <c r="F11" s="1">
        <f t="shared" si="1"/>
        <v>7505.14275</v>
      </c>
      <c r="G11">
        <f t="shared" si="2"/>
        <v>8.3981067189394572E-3</v>
      </c>
      <c r="H11">
        <f t="shared" si="3"/>
        <v>0.12065337328744033</v>
      </c>
      <c r="I11" s="4">
        <v>61.5</v>
      </c>
      <c r="J11" s="1">
        <f t="shared" si="4"/>
        <v>7323.0791246442313</v>
      </c>
      <c r="K11" s="1">
        <f t="shared" si="5"/>
        <v>603.31500000000005</v>
      </c>
      <c r="L11" s="1">
        <f t="shared" si="6"/>
        <v>8667.6666945361812</v>
      </c>
      <c r="M11" s="1">
        <f t="shared" si="7"/>
        <v>8064.3516945361807</v>
      </c>
      <c r="N11" s="1">
        <f t="shared" si="8"/>
        <v>12.046707690306473</v>
      </c>
      <c r="O11" s="3">
        <f t="shared" si="9"/>
        <v>79.046638387837746</v>
      </c>
      <c r="P11" s="3">
        <f t="shared" si="10"/>
        <v>1823.6714908929425</v>
      </c>
      <c r="Q11" s="3">
        <f t="shared" si="11"/>
        <v>19629.836557479091</v>
      </c>
      <c r="R11" s="3">
        <f t="shared" ref="R11:R18" si="13">P11*$R$5</f>
        <v>711.23188144824758</v>
      </c>
      <c r="S11" s="5">
        <f t="shared" si="12"/>
        <v>7353.1198130879329</v>
      </c>
      <c r="T11" s="26">
        <f t="shared" ref="T11:T18" si="14">S11-$J$3*9.81</f>
        <v>388.01981308793256</v>
      </c>
    </row>
    <row r="12" spans="2:20" x14ac:dyDescent="0.2">
      <c r="B12" s="30">
        <v>21300</v>
      </c>
      <c r="C12" s="3">
        <f t="shared" si="0"/>
        <v>69881.889763779531</v>
      </c>
      <c r="D12">
        <v>217.9</v>
      </c>
      <c r="E12">
        <v>4.4538800000000003E-2</v>
      </c>
      <c r="F12" s="1">
        <f t="shared" si="1"/>
        <v>4512.8939100000007</v>
      </c>
      <c r="G12">
        <f t="shared" si="2"/>
        <v>5.0220292435197286E-3</v>
      </c>
      <c r="H12">
        <f t="shared" si="3"/>
        <v>7.2150163037621604E-2</v>
      </c>
      <c r="I12" s="4">
        <v>63.957144803557746</v>
      </c>
      <c r="J12" s="1">
        <f t="shared" si="4"/>
        <v>12735.31907168523</v>
      </c>
      <c r="K12" s="1">
        <f t="shared" si="5"/>
        <v>627.41959052290156</v>
      </c>
      <c r="L12" s="1">
        <f t="shared" si="6"/>
        <v>9013.9709575841498</v>
      </c>
      <c r="M12" s="1">
        <f t="shared" si="7"/>
        <v>8386.551367061249</v>
      </c>
      <c r="N12" s="1">
        <f t="shared" si="8"/>
        <v>14.486842560129752</v>
      </c>
      <c r="O12" s="3">
        <f t="shared" si="9"/>
        <v>95.058022048095481</v>
      </c>
      <c r="P12" s="3">
        <f t="shared" si="10"/>
        <v>2637.2867004301534</v>
      </c>
      <c r="Q12" s="3">
        <f t="shared" si="11"/>
        <v>28387.51778661014</v>
      </c>
      <c r="R12" s="3">
        <f t="shared" si="13"/>
        <v>1028.5418131677598</v>
      </c>
      <c r="S12" s="5">
        <f t="shared" si="12"/>
        <v>7358.0095538934893</v>
      </c>
      <c r="T12" s="26">
        <f t="shared" si="14"/>
        <v>392.90955389348892</v>
      </c>
    </row>
    <row r="13" spans="2:20" x14ac:dyDescent="0.2">
      <c r="B13" s="30">
        <v>24500</v>
      </c>
      <c r="C13" s="3">
        <f t="shared" si="0"/>
        <v>80380.577427821525</v>
      </c>
      <c r="D13">
        <v>221.2</v>
      </c>
      <c r="E13">
        <v>2.6669999999999999E-2</v>
      </c>
      <c r="F13" s="1">
        <f t="shared" si="1"/>
        <v>2702.3377500000001</v>
      </c>
      <c r="G13">
        <f t="shared" si="2"/>
        <v>2.962346452995126E-3</v>
      </c>
      <c r="H13">
        <f t="shared" si="3"/>
        <v>4.2559246311302132E-2</v>
      </c>
      <c r="I13" s="4">
        <v>67.900000000000006</v>
      </c>
      <c r="J13" s="1">
        <f t="shared" si="4"/>
        <v>22921.019224928492</v>
      </c>
      <c r="K13" s="1">
        <f t="shared" si="5"/>
        <v>666.09900000000005</v>
      </c>
      <c r="L13" s="1">
        <f t="shared" si="6"/>
        <v>9569.667781447266</v>
      </c>
      <c r="M13" s="1">
        <f t="shared" si="7"/>
        <v>8903.5687814472658</v>
      </c>
      <c r="N13" s="1">
        <f t="shared" si="8"/>
        <v>17.621725780356329</v>
      </c>
      <c r="O13" s="3">
        <f t="shared" si="9"/>
        <v>115.62812191834861</v>
      </c>
      <c r="P13" s="3">
        <f t="shared" si="10"/>
        <v>3902.1749930667124</v>
      </c>
      <c r="Q13" s="3">
        <f t="shared" si="11"/>
        <v>42002.662055694971</v>
      </c>
      <c r="R13" s="3">
        <f t="shared" si="13"/>
        <v>1521.8482472960179</v>
      </c>
      <c r="S13" s="5">
        <f t="shared" si="12"/>
        <v>7381.7205341512481</v>
      </c>
      <c r="T13" s="26">
        <f t="shared" si="14"/>
        <v>416.62053415124774</v>
      </c>
    </row>
    <row r="14" spans="2:20" x14ac:dyDescent="0.2">
      <c r="B14" s="30">
        <v>27500</v>
      </c>
      <c r="C14" s="3">
        <f t="shared" si="0"/>
        <v>90223.097112860894</v>
      </c>
      <c r="D14">
        <v>224.2</v>
      </c>
      <c r="E14">
        <v>1.6889999999999999E-2</v>
      </c>
      <c r="F14" s="1">
        <f t="shared" si="1"/>
        <v>1711.37925</v>
      </c>
      <c r="G14">
        <f t="shared" si="2"/>
        <v>1.850938534770898E-3</v>
      </c>
      <c r="H14">
        <f t="shared" si="3"/>
        <v>2.6591943332201769E-2</v>
      </c>
      <c r="I14" s="4">
        <v>73.099999999999994</v>
      </c>
      <c r="J14" s="1">
        <f t="shared" si="4"/>
        <v>39493.477836663027</v>
      </c>
      <c r="K14" s="1">
        <f t="shared" si="5"/>
        <v>717.11099999999999</v>
      </c>
      <c r="L14" s="1">
        <f t="shared" si="6"/>
        <v>10302.543664562518</v>
      </c>
      <c r="M14" s="1">
        <f t="shared" si="7"/>
        <v>9585.4326645625169</v>
      </c>
      <c r="N14" s="1">
        <f t="shared" si="8"/>
        <v>21.125755874230897</v>
      </c>
      <c r="O14" s="3">
        <f t="shared" si="9"/>
        <v>138.62044536896914</v>
      </c>
      <c r="P14" s="3">
        <f t="shared" si="10"/>
        <v>5608.3405590476832</v>
      </c>
      <c r="Q14" s="3">
        <f t="shared" si="11"/>
        <v>60367.675363988979</v>
      </c>
      <c r="R14" s="3">
        <f t="shared" si="13"/>
        <v>2187.2528180285967</v>
      </c>
      <c r="S14" s="5">
        <f t="shared" si="12"/>
        <v>7398.1798465339198</v>
      </c>
      <c r="T14" s="26">
        <f t="shared" si="14"/>
        <v>433.07984653391941</v>
      </c>
    </row>
    <row r="15" spans="2:20" x14ac:dyDescent="0.2">
      <c r="B15" s="30">
        <v>30500</v>
      </c>
      <c r="C15" s="3">
        <f t="shared" si="0"/>
        <v>100065.61679790026</v>
      </c>
      <c r="D15">
        <v>227.2</v>
      </c>
      <c r="E15">
        <v>1.073E-2</v>
      </c>
      <c r="F15" s="1">
        <f t="shared" si="1"/>
        <v>1087.2172499999999</v>
      </c>
      <c r="G15">
        <f t="shared" si="2"/>
        <v>1.1603509194717285E-3</v>
      </c>
      <c r="H15">
        <f t="shared" si="3"/>
        <v>1.6670454105532823E-2</v>
      </c>
      <c r="I15" s="4">
        <v>81.099999999999994</v>
      </c>
      <c r="J15" s="1">
        <f t="shared" si="4"/>
        <v>69892.649403787509</v>
      </c>
      <c r="K15" s="1">
        <f t="shared" si="5"/>
        <v>795.59100000000001</v>
      </c>
      <c r="L15" s="1">
        <f t="shared" si="6"/>
        <v>11430.04502320137</v>
      </c>
      <c r="M15" s="1">
        <f t="shared" si="7"/>
        <v>10634.45402320137</v>
      </c>
      <c r="N15" s="1">
        <f t="shared" si="8"/>
        <v>25.553337522327002</v>
      </c>
      <c r="O15" s="3">
        <f t="shared" si="9"/>
        <v>167.67281838797246</v>
      </c>
      <c r="P15" s="3">
        <f t="shared" si="10"/>
        <v>8205.5014546791863</v>
      </c>
      <c r="Q15" s="3">
        <f t="shared" si="11"/>
        <v>88323.282582348067</v>
      </c>
      <c r="R15" s="3">
        <f t="shared" si="13"/>
        <v>3200.1455673248829</v>
      </c>
      <c r="S15" s="5">
        <f t="shared" si="12"/>
        <v>7434.3084558764867</v>
      </c>
      <c r="T15" s="26">
        <f t="shared" si="14"/>
        <v>469.20845587648637</v>
      </c>
    </row>
    <row r="16" spans="2:20" x14ac:dyDescent="0.2">
      <c r="B16" s="30">
        <v>33500</v>
      </c>
      <c r="C16" s="3">
        <f t="shared" si="0"/>
        <v>109908.13648293963</v>
      </c>
      <c r="D16">
        <v>232.9</v>
      </c>
      <c r="E16">
        <v>6.8609999999999999E-3</v>
      </c>
      <c r="F16" s="1">
        <f t="shared" si="1"/>
        <v>695.19082500000002</v>
      </c>
      <c r="G16">
        <f t="shared" si="2"/>
        <v>7.2379551319986396E-4</v>
      </c>
      <c r="H16">
        <f t="shared" si="3"/>
        <v>1.0398578293954538E-2</v>
      </c>
      <c r="I16" s="4">
        <v>93.9</v>
      </c>
      <c r="J16" s="1">
        <f t="shared" si="4"/>
        <v>129732.77436450632</v>
      </c>
      <c r="K16" s="1">
        <f t="shared" si="5"/>
        <v>921.15900000000011</v>
      </c>
      <c r="L16" s="1">
        <f t="shared" si="6"/>
        <v>13234.047197023534</v>
      </c>
      <c r="M16" s="1">
        <f t="shared" si="7"/>
        <v>12312.888197023534</v>
      </c>
      <c r="N16" s="1">
        <f t="shared" si="8"/>
        <v>31.404149208180566</v>
      </c>
      <c r="O16" s="3">
        <f t="shared" si="9"/>
        <v>206.06397118228716</v>
      </c>
      <c r="P16" s="3">
        <f t="shared" si="10"/>
        <v>12393.213409906204</v>
      </c>
      <c r="Q16" s="3">
        <f t="shared" si="11"/>
        <v>133399.43891939599</v>
      </c>
      <c r="R16" s="3">
        <f t="shared" si="13"/>
        <v>4833.35322986342</v>
      </c>
      <c r="S16" s="5">
        <f t="shared" si="12"/>
        <v>7479.5349671601143</v>
      </c>
      <c r="T16" s="26">
        <f t="shared" si="14"/>
        <v>514.43496716011396</v>
      </c>
    </row>
    <row r="17" spans="2:22" x14ac:dyDescent="0.2">
      <c r="B17" s="30">
        <v>35000</v>
      </c>
      <c r="C17" s="3">
        <f t="shared" si="0"/>
        <v>114829.39632545931</v>
      </c>
      <c r="D17">
        <v>236.5</v>
      </c>
      <c r="E17">
        <v>5.6707900000000002E-3</v>
      </c>
      <c r="F17" s="1">
        <f t="shared" si="1"/>
        <v>574.59279675000005</v>
      </c>
      <c r="G17">
        <f t="shared" si="2"/>
        <v>5.8912896482817034E-4</v>
      </c>
      <c r="H17">
        <f t="shared" si="3"/>
        <v>8.4638596872739918E-3</v>
      </c>
      <c r="I17" s="4">
        <v>101.83</v>
      </c>
      <c r="J17" s="1">
        <f t="shared" si="4"/>
        <v>172848.40175817953</v>
      </c>
      <c r="K17" s="1">
        <f t="shared" si="5"/>
        <v>998.95230000000004</v>
      </c>
      <c r="L17" s="1">
        <f t="shared" si="6"/>
        <v>14351.682918774297</v>
      </c>
      <c r="M17" s="1">
        <f t="shared" si="7"/>
        <v>13352.730618774296</v>
      </c>
      <c r="N17" s="1">
        <f t="shared" si="8"/>
        <v>34.556168761627433</v>
      </c>
      <c r="O17" s="3">
        <f t="shared" si="9"/>
        <v>226.74651418390704</v>
      </c>
      <c r="P17" s="3">
        <f t="shared" si="10"/>
        <v>15005.865055571552</v>
      </c>
      <c r="Q17" s="3">
        <f t="shared" si="11"/>
        <v>161521.78718340702</v>
      </c>
      <c r="R17" s="3">
        <f t="shared" si="13"/>
        <v>5852.2873716729055</v>
      </c>
      <c r="S17" s="5">
        <f t="shared" si="12"/>
        <v>7500.4432471013906</v>
      </c>
      <c r="T17" s="26">
        <f t="shared" si="14"/>
        <v>535.34324710139026</v>
      </c>
      <c r="U17">
        <f>N17*2</f>
        <v>69.112337523254865</v>
      </c>
      <c r="V17">
        <f>R17/9.81</f>
        <v>596.56344257623903</v>
      </c>
    </row>
    <row r="18" spans="2:22" x14ac:dyDescent="0.2">
      <c r="B18" s="30">
        <v>36500</v>
      </c>
      <c r="C18" s="3">
        <f t="shared" si="0"/>
        <v>119750.656167979</v>
      </c>
      <c r="D18">
        <v>241.3</v>
      </c>
      <c r="E18">
        <v>4.4520000000000002E-3</v>
      </c>
      <c r="F18" s="1">
        <f t="shared" si="1"/>
        <v>451.09890000000001</v>
      </c>
      <c r="G18">
        <f t="shared" si="2"/>
        <v>4.5331051132264087E-4</v>
      </c>
      <c r="H18">
        <f t="shared" si="3"/>
        <v>6.5125919648515631E-3</v>
      </c>
      <c r="I18" s="4">
        <v>115.3</v>
      </c>
      <c r="J18" s="1">
        <f t="shared" si="4"/>
        <v>254351.04000475284</v>
      </c>
      <c r="K18" s="1">
        <f t="shared" si="5"/>
        <v>1131.0930000000001</v>
      </c>
      <c r="L18" s="1">
        <f t="shared" si="6"/>
        <v>16250.113331382467</v>
      </c>
      <c r="M18" s="1">
        <f t="shared" si="7"/>
        <v>15119.020331382466</v>
      </c>
      <c r="N18" s="1">
        <f t="shared" si="8"/>
        <v>39.305045450714644</v>
      </c>
      <c r="O18" s="3">
        <f t="shared" si="9"/>
        <v>257.90712238001731</v>
      </c>
      <c r="P18" s="3">
        <f t="shared" si="10"/>
        <v>19413.617546151028</v>
      </c>
      <c r="Q18" s="3">
        <f t="shared" si="11"/>
        <v>208966.44013103368</v>
      </c>
      <c r="R18" s="3">
        <f t="shared" si="13"/>
        <v>7571.3108429989015</v>
      </c>
      <c r="S18" s="5">
        <f t="shared" si="12"/>
        <v>7547.7094883835643</v>
      </c>
      <c r="T18" s="26">
        <f t="shared" si="14"/>
        <v>582.60948838356398</v>
      </c>
    </row>
    <row r="21" spans="2:22" x14ac:dyDescent="0.2">
      <c r="C21" s="20" t="s">
        <v>80</v>
      </c>
    </row>
    <row r="22" spans="2:22" x14ac:dyDescent="0.2">
      <c r="C22" s="20" t="s">
        <v>77</v>
      </c>
    </row>
    <row r="23" spans="2:22" x14ac:dyDescent="0.2">
      <c r="C23" s="20"/>
    </row>
    <row r="24" spans="2:22" x14ac:dyDescent="0.2">
      <c r="C24" s="2" t="s">
        <v>59</v>
      </c>
    </row>
    <row r="25" spans="2:22" x14ac:dyDescent="0.2">
      <c r="B25" s="21" t="s">
        <v>62</v>
      </c>
      <c r="C25" s="2" t="s">
        <v>23</v>
      </c>
      <c r="D25" s="2"/>
      <c r="E25" s="2" t="s">
        <v>31</v>
      </c>
      <c r="F25" s="2"/>
      <c r="J25" s="22" t="s">
        <v>65</v>
      </c>
      <c r="K25" s="22" t="s">
        <v>72</v>
      </c>
      <c r="L25" s="22" t="s">
        <v>72</v>
      </c>
    </row>
    <row r="26" spans="2:22" x14ac:dyDescent="0.2">
      <c r="B26" s="2" t="s">
        <v>59</v>
      </c>
      <c r="C26" s="2" t="s">
        <v>24</v>
      </c>
      <c r="D26" s="2" t="s">
        <v>59</v>
      </c>
      <c r="E26" s="2" t="s">
        <v>22</v>
      </c>
      <c r="F26" s="21" t="s">
        <v>11</v>
      </c>
      <c r="G26" s="2" t="s">
        <v>41</v>
      </c>
      <c r="H26" s="21" t="s">
        <v>62</v>
      </c>
      <c r="J26" s="22" t="s">
        <v>66</v>
      </c>
      <c r="K26" s="22" t="s">
        <v>73</v>
      </c>
      <c r="L26" s="22" t="s">
        <v>73</v>
      </c>
    </row>
    <row r="27" spans="2:22" x14ac:dyDescent="0.2">
      <c r="B27" s="2" t="s">
        <v>14</v>
      </c>
      <c r="C27" s="2" t="s">
        <v>25</v>
      </c>
      <c r="D27" s="2" t="s">
        <v>8</v>
      </c>
      <c r="E27" s="2" t="s">
        <v>8</v>
      </c>
      <c r="F27" s="21" t="s">
        <v>71</v>
      </c>
      <c r="G27" s="2" t="s">
        <v>8</v>
      </c>
      <c r="H27" s="25" t="s">
        <v>9</v>
      </c>
      <c r="I27" s="2" t="s">
        <v>38</v>
      </c>
      <c r="J27" s="24" t="s">
        <v>67</v>
      </c>
      <c r="K27" s="21" t="s">
        <v>76</v>
      </c>
      <c r="L27" s="21" t="s">
        <v>76</v>
      </c>
    </row>
    <row r="28" spans="2:22" ht="14.25" x14ac:dyDescent="0.2">
      <c r="B28" s="2" t="s">
        <v>29</v>
      </c>
      <c r="C28" s="22" t="s">
        <v>64</v>
      </c>
      <c r="D28" s="2" t="s">
        <v>30</v>
      </c>
      <c r="E28" s="2" t="s">
        <v>30</v>
      </c>
      <c r="F28" s="21" t="s">
        <v>30</v>
      </c>
      <c r="G28" s="2" t="s">
        <v>30</v>
      </c>
      <c r="H28" s="25" t="s">
        <v>30</v>
      </c>
      <c r="I28" s="2" t="s">
        <v>16</v>
      </c>
      <c r="J28" s="22" t="s">
        <v>68</v>
      </c>
      <c r="K28" s="24" t="s">
        <v>74</v>
      </c>
      <c r="L28" s="24" t="s">
        <v>75</v>
      </c>
    </row>
    <row r="29" spans="2:22" x14ac:dyDescent="0.2">
      <c r="B29">
        <f>$F$5/($C$5*$G$5)</f>
        <v>8.5251882819278285E-2</v>
      </c>
      <c r="C29">
        <f t="shared" ref="C29:C37" si="15">I10/B29</f>
        <v>704.96976738218609</v>
      </c>
      <c r="D29" s="1">
        <f>K10</f>
        <v>589.58100000000002</v>
      </c>
      <c r="E29" s="1">
        <f>$H$5*C29*9.81</f>
        <v>8471.7979370735757</v>
      </c>
      <c r="F29" s="1">
        <f t="shared" ref="F29:F37" si="16">E29-D29</f>
        <v>7882.2169370735755</v>
      </c>
      <c r="G29" s="3">
        <f>R10</f>
        <v>538.40269063046082</v>
      </c>
      <c r="H29" s="26">
        <f>F29-G29-$J$3*9.81</f>
        <v>378.71424644311446</v>
      </c>
      <c r="I29" s="1">
        <f>POWER((3*C29/(PI()*4)),1/3)</f>
        <v>5.5211213723112422</v>
      </c>
      <c r="J29">
        <f>PI()*I29^2</f>
        <v>95.76448150338426</v>
      </c>
      <c r="K29">
        <f>SQRT((2*H29)/($H$5*J29*$M$5))</f>
        <v>5.0819517769909721</v>
      </c>
      <c r="L29" s="29">
        <f>K29*196.8504</f>
        <v>1000.3842400813837</v>
      </c>
    </row>
    <row r="30" spans="2:22" x14ac:dyDescent="0.2">
      <c r="B30">
        <f t="shared" ref="B30:B37" si="17">$F$5/($C$5*$G$5)</f>
        <v>8.5251882819278285E-2</v>
      </c>
      <c r="C30">
        <f t="shared" si="15"/>
        <v>721.39169207994087</v>
      </c>
      <c r="D30" s="1">
        <f t="shared" ref="D30:D37" si="18">K11</f>
        <v>603.31500000000005</v>
      </c>
      <c r="E30" s="1">
        <f t="shared" ref="E30:E37" si="19">$H$5*C30*9.81</f>
        <v>8669.1443116476694</v>
      </c>
      <c r="F30" s="1">
        <f t="shared" si="16"/>
        <v>8065.8293116476689</v>
      </c>
      <c r="G30" s="3">
        <f t="shared" ref="G30:G37" si="20">R11</f>
        <v>711.23188144824758</v>
      </c>
      <c r="H30" s="26">
        <f t="shared" ref="H30:H37" si="21">F30-G30-$J$3*9.81</f>
        <v>389.49743019942071</v>
      </c>
      <c r="I30" s="1">
        <f t="shared" ref="I30:I37" si="22">POWER((3*C30/(PI()*4)),1/3)</f>
        <v>5.5636633353898697</v>
      </c>
      <c r="J30">
        <f t="shared" ref="J30:J37" si="23">PI()*I30^2</f>
        <v>97.245957644207849</v>
      </c>
      <c r="K30">
        <f t="shared" ref="K30:K37" si="24">SQRT((2*H30)/($H$5*J30*$M$5))</f>
        <v>5.1143856013131082</v>
      </c>
      <c r="L30" s="29">
        <f t="shared" ref="L30:L37" si="25">K30*196.8504</f>
        <v>1006.7688513727259</v>
      </c>
    </row>
    <row r="31" spans="2:22" x14ac:dyDescent="0.2">
      <c r="B31">
        <f t="shared" si="17"/>
        <v>8.5251882819278285E-2</v>
      </c>
      <c r="C31">
        <f t="shared" si="15"/>
        <v>750.21386846244422</v>
      </c>
      <c r="D31" s="1">
        <f t="shared" si="18"/>
        <v>627.41959052290156</v>
      </c>
      <c r="E31" s="1">
        <f t="shared" si="19"/>
        <v>9015.5076107803088</v>
      </c>
      <c r="F31" s="1">
        <f t="shared" si="16"/>
        <v>8388.0880202574081</v>
      </c>
      <c r="G31" s="3">
        <f t="shared" si="20"/>
        <v>1028.5418131677598</v>
      </c>
      <c r="H31" s="26">
        <f t="shared" si="21"/>
        <v>394.44620708964794</v>
      </c>
      <c r="I31" s="1">
        <f t="shared" si="22"/>
        <v>5.6367939493020272</v>
      </c>
      <c r="J31">
        <f t="shared" si="23"/>
        <v>99.819224617302964</v>
      </c>
      <c r="K31">
        <f t="shared" si="24"/>
        <v>5.0800003863374075</v>
      </c>
      <c r="L31" s="29">
        <f t="shared" si="25"/>
        <v>1000.0001080506732</v>
      </c>
    </row>
    <row r="32" spans="2:22" x14ac:dyDescent="0.2">
      <c r="B32">
        <f t="shared" si="17"/>
        <v>8.5251882819278285E-2</v>
      </c>
      <c r="C32">
        <f t="shared" si="15"/>
        <v>796.46334784110547</v>
      </c>
      <c r="D32" s="1">
        <f t="shared" si="18"/>
        <v>666.09900000000005</v>
      </c>
      <c r="E32" s="1">
        <f t="shared" si="19"/>
        <v>9571.2991668435261</v>
      </c>
      <c r="F32" s="1">
        <f t="shared" si="16"/>
        <v>8905.2001668435259</v>
      </c>
      <c r="G32" s="3">
        <f t="shared" si="20"/>
        <v>1521.8482472960179</v>
      </c>
      <c r="H32" s="26">
        <f t="shared" si="21"/>
        <v>418.2519195475079</v>
      </c>
      <c r="I32" s="1">
        <f t="shared" si="22"/>
        <v>5.7503250548503262</v>
      </c>
      <c r="J32">
        <f t="shared" si="23"/>
        <v>103.88065112544794</v>
      </c>
      <c r="K32">
        <f t="shared" si="24"/>
        <v>5.127770611609229</v>
      </c>
      <c r="L32" s="29">
        <f t="shared" si="25"/>
        <v>1009.4036960035214</v>
      </c>
    </row>
    <row r="33" spans="2:12" x14ac:dyDescent="0.2">
      <c r="B33">
        <f t="shared" si="17"/>
        <v>8.5251882819278285E-2</v>
      </c>
      <c r="C33">
        <f t="shared" si="15"/>
        <v>857.45906814705154</v>
      </c>
      <c r="D33" s="1">
        <f t="shared" si="18"/>
        <v>717.11099999999999</v>
      </c>
      <c r="E33" s="1">
        <f t="shared" si="19"/>
        <v>10304.299986690155</v>
      </c>
      <c r="F33" s="1">
        <f t="shared" si="16"/>
        <v>9587.1889866901547</v>
      </c>
      <c r="G33" s="3">
        <f t="shared" si="20"/>
        <v>2187.2528180285967</v>
      </c>
      <c r="H33" s="26">
        <f t="shared" si="21"/>
        <v>434.83616866155717</v>
      </c>
      <c r="I33" s="1">
        <f t="shared" si="22"/>
        <v>5.8935222766997652</v>
      </c>
      <c r="J33">
        <f t="shared" si="23"/>
        <v>109.11883775391556</v>
      </c>
      <c r="K33">
        <f t="shared" si="24"/>
        <v>5.1014062935549349</v>
      </c>
      <c r="L33" s="29">
        <f t="shared" si="25"/>
        <v>1004.2138694488063</v>
      </c>
    </row>
    <row r="34" spans="2:12" x14ac:dyDescent="0.2">
      <c r="B34">
        <f t="shared" si="17"/>
        <v>8.5251882819278285E-2</v>
      </c>
      <c r="C34">
        <f t="shared" si="15"/>
        <v>951.29863784850727</v>
      </c>
      <c r="D34" s="1">
        <f t="shared" si="18"/>
        <v>795.59100000000001</v>
      </c>
      <c r="E34" s="1">
        <f t="shared" si="19"/>
        <v>11431.993555684976</v>
      </c>
      <c r="F34" s="1">
        <f t="shared" si="16"/>
        <v>10636.402555684976</v>
      </c>
      <c r="G34" s="3">
        <f t="shared" si="20"/>
        <v>3200.1455673248829</v>
      </c>
      <c r="H34" s="26">
        <f t="shared" si="21"/>
        <v>471.15698836009233</v>
      </c>
      <c r="I34" s="1">
        <f t="shared" si="22"/>
        <v>6.1011179609590256</v>
      </c>
      <c r="J34">
        <f t="shared" si="23"/>
        <v>116.94151513737168</v>
      </c>
      <c r="K34">
        <f t="shared" si="24"/>
        <v>5.1295044331554793</v>
      </c>
      <c r="L34" s="29">
        <f t="shared" si="25"/>
        <v>1009.7449994684295</v>
      </c>
    </row>
    <row r="35" spans="2:12" x14ac:dyDescent="0.2">
      <c r="B35">
        <f t="shared" si="17"/>
        <v>8.5251882819278285E-2</v>
      </c>
      <c r="C35">
        <f t="shared" si="15"/>
        <v>1101.4419493708365</v>
      </c>
      <c r="D35" s="1">
        <f t="shared" si="18"/>
        <v>921.15900000000011</v>
      </c>
      <c r="E35" s="1">
        <f t="shared" si="19"/>
        <v>13236.303266076688</v>
      </c>
      <c r="F35" s="1">
        <f t="shared" si="16"/>
        <v>12315.144266076688</v>
      </c>
      <c r="G35" s="3">
        <f t="shared" si="20"/>
        <v>4833.35322986342</v>
      </c>
      <c r="H35" s="26">
        <f t="shared" si="21"/>
        <v>516.69103621326758</v>
      </c>
      <c r="I35" s="1">
        <f t="shared" si="22"/>
        <v>6.4065516904479765</v>
      </c>
      <c r="J35">
        <f t="shared" si="23"/>
        <v>128.94322904781933</v>
      </c>
      <c r="K35">
        <f t="shared" si="24"/>
        <v>5.1155595176832787</v>
      </c>
      <c r="L35" s="29">
        <f t="shared" si="25"/>
        <v>1006.9999372797605</v>
      </c>
    </row>
    <row r="36" spans="2:12" x14ac:dyDescent="0.2">
      <c r="B36">
        <f t="shared" si="17"/>
        <v>8.5251882819278285E-2</v>
      </c>
      <c r="C36">
        <f t="shared" si="15"/>
        <v>1194.4604228374044</v>
      </c>
      <c r="D36" s="1">
        <f t="shared" si="18"/>
        <v>998.95230000000004</v>
      </c>
      <c r="E36" s="1">
        <f t="shared" si="19"/>
        <v>14354.1295163428</v>
      </c>
      <c r="F36" s="1">
        <f t="shared" si="16"/>
        <v>13355.1772163428</v>
      </c>
      <c r="G36" s="3">
        <f t="shared" si="20"/>
        <v>5852.2873716729055</v>
      </c>
      <c r="H36" s="26">
        <f t="shared" si="21"/>
        <v>537.78984466989368</v>
      </c>
      <c r="I36" s="1">
        <f t="shared" si="22"/>
        <v>6.5820481003889721</v>
      </c>
      <c r="J36">
        <f t="shared" si="23"/>
        <v>136.10434069527884</v>
      </c>
      <c r="K36">
        <f t="shared" si="24"/>
        <v>5.0798075541597481</v>
      </c>
      <c r="L36" s="29">
        <f t="shared" si="25"/>
        <v>999.96214895936805</v>
      </c>
    </row>
    <row r="37" spans="2:12" x14ac:dyDescent="0.2">
      <c r="B37">
        <f t="shared" si="17"/>
        <v>8.5251882819278285E-2</v>
      </c>
      <c r="C37">
        <f t="shared" si="15"/>
        <v>1352.4627983222306</v>
      </c>
      <c r="D37" s="1">
        <f t="shared" si="18"/>
        <v>1131.0930000000001</v>
      </c>
      <c r="E37" s="1">
        <f t="shared" si="19"/>
        <v>16252.883563137826</v>
      </c>
      <c r="F37" s="1">
        <f t="shared" si="16"/>
        <v>15121.790563137825</v>
      </c>
      <c r="G37" s="3">
        <f t="shared" si="20"/>
        <v>7571.3108429989015</v>
      </c>
      <c r="H37" s="26">
        <f t="shared" si="21"/>
        <v>585.3797201389234</v>
      </c>
      <c r="I37" s="1">
        <f t="shared" si="22"/>
        <v>6.8603389403156836</v>
      </c>
      <c r="J37">
        <f t="shared" si="23"/>
        <v>147.85670322798904</v>
      </c>
      <c r="K37">
        <f t="shared" si="24"/>
        <v>5.0848163999709417</v>
      </c>
      <c r="L37" s="29">
        <f t="shared" si="25"/>
        <v>1000.9481422608399</v>
      </c>
    </row>
  </sheetData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39"/>
  <sheetViews>
    <sheetView zoomScale="75" workbookViewId="0">
      <selection activeCell="S21" sqref="S21"/>
    </sheetView>
  </sheetViews>
  <sheetFormatPr defaultRowHeight="12.75" x14ac:dyDescent="0.2"/>
  <cols>
    <col min="1" max="1" width="40.7109375" customWidth="1"/>
    <col min="3" max="3" width="10.85546875" customWidth="1"/>
    <col min="5" max="5" width="10.140625" customWidth="1"/>
    <col min="6" max="6" width="7.7109375" customWidth="1"/>
    <col min="7" max="7" width="7.42578125" customWidth="1"/>
    <col min="8" max="8" width="7.5703125" customWidth="1"/>
    <col min="9" max="9" width="10.7109375" customWidth="1"/>
    <col min="14" max="14" width="7.28515625" customWidth="1"/>
    <col min="16" max="16" width="7.28515625" customWidth="1"/>
    <col min="17" max="17" width="8.28515625" customWidth="1"/>
    <col min="19" max="19" width="8.28515625" customWidth="1"/>
  </cols>
  <sheetData>
    <row r="1" spans="1:20" ht="20.25" x14ac:dyDescent="0.3">
      <c r="A1" s="32" t="s">
        <v>83</v>
      </c>
    </row>
    <row r="2" spans="1:20" ht="20.25" x14ac:dyDescent="0.3">
      <c r="A2" s="33" t="s">
        <v>82</v>
      </c>
      <c r="R2" s="4" t="s">
        <v>3</v>
      </c>
    </row>
    <row r="3" spans="1:20" x14ac:dyDescent="0.2">
      <c r="B3" s="2"/>
      <c r="C3" s="2"/>
      <c r="D3" s="2"/>
      <c r="E3" s="2" t="s">
        <v>35</v>
      </c>
      <c r="F3" s="2"/>
      <c r="G3" s="2"/>
      <c r="H3" s="2"/>
      <c r="I3" s="2"/>
      <c r="R3" s="4" t="s">
        <v>10</v>
      </c>
    </row>
    <row r="4" spans="1:20" x14ac:dyDescent="0.2">
      <c r="B4" s="2" t="s">
        <v>1</v>
      </c>
      <c r="C4" s="2" t="s">
        <v>0</v>
      </c>
      <c r="D4" s="2"/>
      <c r="E4" s="2" t="s">
        <v>20</v>
      </c>
      <c r="F4" s="2"/>
      <c r="G4" s="2"/>
      <c r="H4" s="2"/>
      <c r="I4" s="2"/>
      <c r="R4" s="4" t="s">
        <v>7</v>
      </c>
    </row>
    <row r="5" spans="1:20" x14ac:dyDescent="0.2">
      <c r="B5" s="2">
        <v>2080</v>
      </c>
      <c r="C5" s="2">
        <v>287.05200000000002</v>
      </c>
      <c r="D5" s="2"/>
      <c r="E5" s="9">
        <v>101325</v>
      </c>
      <c r="F5" s="2"/>
      <c r="G5" s="2"/>
      <c r="H5" s="2"/>
      <c r="I5" s="2" t="s">
        <v>27</v>
      </c>
      <c r="R5" s="4">
        <v>0.06</v>
      </c>
    </row>
    <row r="6" spans="1:20" x14ac:dyDescent="0.2">
      <c r="B6" s="2"/>
      <c r="C6" s="2"/>
      <c r="D6" s="2"/>
      <c r="E6" s="2"/>
      <c r="F6" s="2"/>
      <c r="G6" s="2"/>
      <c r="H6" s="6" t="s">
        <v>78</v>
      </c>
      <c r="I6" s="2" t="s">
        <v>21</v>
      </c>
      <c r="J6" s="2" t="s">
        <v>27</v>
      </c>
      <c r="K6" s="2" t="s">
        <v>31</v>
      </c>
      <c r="L6" s="2"/>
      <c r="M6" s="2"/>
      <c r="N6" s="2"/>
      <c r="O6" s="2"/>
      <c r="P6" s="2"/>
      <c r="Q6" s="2"/>
      <c r="R6" s="2"/>
      <c r="S6" s="2"/>
      <c r="T6" s="2"/>
    </row>
    <row r="7" spans="1:20" x14ac:dyDescent="0.2">
      <c r="A7" s="31" t="s">
        <v>81</v>
      </c>
      <c r="B7" s="21" t="s">
        <v>81</v>
      </c>
      <c r="C7" s="2"/>
      <c r="D7" s="2"/>
      <c r="E7" s="2"/>
      <c r="F7" s="2" t="s">
        <v>21</v>
      </c>
      <c r="G7" s="2" t="s">
        <v>22</v>
      </c>
      <c r="H7" s="6" t="s">
        <v>21</v>
      </c>
      <c r="I7" s="2" t="s">
        <v>23</v>
      </c>
      <c r="J7" s="2" t="s">
        <v>21</v>
      </c>
      <c r="K7" s="2" t="s">
        <v>22</v>
      </c>
      <c r="L7" s="7"/>
      <c r="M7" s="6" t="s">
        <v>32</v>
      </c>
      <c r="N7" s="2"/>
      <c r="O7" s="2"/>
      <c r="P7" s="10" t="s">
        <v>4</v>
      </c>
      <c r="Q7" s="2"/>
      <c r="R7" s="2" t="s">
        <v>41</v>
      </c>
      <c r="S7" s="2"/>
      <c r="T7" s="8" t="s">
        <v>37</v>
      </c>
    </row>
    <row r="8" spans="1:20" x14ac:dyDescent="0.2">
      <c r="A8" s="31" t="s">
        <v>17</v>
      </c>
      <c r="B8" s="2" t="s">
        <v>17</v>
      </c>
      <c r="C8" s="2" t="s">
        <v>18</v>
      </c>
      <c r="D8" s="2" t="s">
        <v>20</v>
      </c>
      <c r="E8" s="2" t="s">
        <v>20</v>
      </c>
      <c r="F8" s="2" t="s">
        <v>14</v>
      </c>
      <c r="G8" s="2" t="s">
        <v>14</v>
      </c>
      <c r="H8" s="6" t="s">
        <v>28</v>
      </c>
      <c r="I8" s="2" t="s">
        <v>24</v>
      </c>
      <c r="J8" s="2" t="s">
        <v>8</v>
      </c>
      <c r="K8" s="2" t="s">
        <v>8</v>
      </c>
      <c r="L8" s="2" t="s">
        <v>11</v>
      </c>
      <c r="M8" s="6" t="s">
        <v>33</v>
      </c>
      <c r="N8" s="2" t="s">
        <v>38</v>
      </c>
      <c r="O8" s="2" t="s">
        <v>39</v>
      </c>
      <c r="P8" s="2" t="s">
        <v>36</v>
      </c>
      <c r="Q8" s="2" t="s">
        <v>36</v>
      </c>
      <c r="R8" s="2" t="s">
        <v>8</v>
      </c>
      <c r="S8" s="8" t="s">
        <v>9</v>
      </c>
      <c r="T8" s="8" t="s">
        <v>28</v>
      </c>
    </row>
    <row r="9" spans="1:20" ht="14.25" x14ac:dyDescent="0.2">
      <c r="A9" s="31" t="s">
        <v>5</v>
      </c>
      <c r="B9" s="2" t="s">
        <v>6</v>
      </c>
      <c r="C9" s="2" t="s">
        <v>19</v>
      </c>
      <c r="D9" s="2" t="s">
        <v>15</v>
      </c>
      <c r="E9" s="2" t="s">
        <v>13</v>
      </c>
      <c r="F9" s="2" t="s">
        <v>29</v>
      </c>
      <c r="G9" s="2" t="s">
        <v>29</v>
      </c>
      <c r="H9" s="6" t="s">
        <v>26</v>
      </c>
      <c r="I9" s="2" t="s">
        <v>25</v>
      </c>
      <c r="J9" s="2" t="s">
        <v>30</v>
      </c>
      <c r="K9" s="2" t="s">
        <v>30</v>
      </c>
      <c r="L9" s="2" t="s">
        <v>2</v>
      </c>
      <c r="M9" s="6" t="s">
        <v>34</v>
      </c>
      <c r="N9" s="2" t="s">
        <v>16</v>
      </c>
      <c r="O9" s="2" t="s">
        <v>6</v>
      </c>
      <c r="P9" s="2" t="s">
        <v>5</v>
      </c>
      <c r="Q9" s="2" t="s">
        <v>6</v>
      </c>
      <c r="R9" s="2" t="s">
        <v>30</v>
      </c>
      <c r="S9" s="8" t="s">
        <v>30</v>
      </c>
      <c r="T9" s="8" t="s">
        <v>26</v>
      </c>
    </row>
    <row r="10" spans="1:20" x14ac:dyDescent="0.2">
      <c r="A10" s="30">
        <v>15500</v>
      </c>
      <c r="B10" s="3">
        <f t="shared" ref="B10:B18" si="0">A10/0.3048</f>
        <v>50853.018372703409</v>
      </c>
      <c r="C10">
        <v>216.7</v>
      </c>
      <c r="D10">
        <v>0.1099</v>
      </c>
      <c r="E10" s="1">
        <f t="shared" ref="E10:E18" si="1">$E$5*D10</f>
        <v>11135.6175</v>
      </c>
      <c r="F10">
        <f t="shared" ref="F10:F18" si="2">E10/($B$5*C10)</f>
        <v>2.470540959674843E-2</v>
      </c>
      <c r="G10">
        <f t="shared" ref="G10:G18" si="3">E10/($C$5*C10)</f>
        <v>0.17901722322518823</v>
      </c>
      <c r="H10" s="4">
        <v>131</v>
      </c>
      <c r="I10" s="1">
        <f t="shared" ref="I10:I18" si="4">H10/F10</f>
        <v>5302.4824173423704</v>
      </c>
      <c r="J10" s="1">
        <f t="shared" ref="J10:J18" si="5">H10*9.81</f>
        <v>1285.1100000000001</v>
      </c>
      <c r="K10" s="1">
        <f t="shared" ref="K10:K18" si="6">G10*I10*9.81</f>
        <v>9312.0020066050765</v>
      </c>
      <c r="L10" s="1">
        <f t="shared" ref="L10:L18" si="7">K10-J10</f>
        <v>8026.8920066050759</v>
      </c>
      <c r="M10" s="4">
        <v>6</v>
      </c>
      <c r="N10" s="1">
        <f t="shared" ref="N10:N18" si="8">POWER((3*(I10/M10)/(PI()*4)),1/3)</f>
        <v>5.9531449780950654</v>
      </c>
      <c r="O10" s="3">
        <f t="shared" ref="O10:O18" si="9">N10*2/0.3048</f>
        <v>39.062631089862634</v>
      </c>
      <c r="P10" s="3">
        <f t="shared" ref="P10:P18" si="10">4*PI()*(N10^2)</f>
        <v>445.35135939517301</v>
      </c>
      <c r="Q10" s="3">
        <f t="shared" ref="Q10:Q18" si="11">P10/(0.3048^2)</f>
        <v>4793.7221364895377</v>
      </c>
      <c r="R10" s="3">
        <f t="shared" ref="R10:R18" si="12">P10*M10*$R$5</f>
        <v>160.32648938226228</v>
      </c>
      <c r="S10" s="5">
        <f t="shared" ref="S10:S18" si="13">L10-R10</f>
        <v>7866.5655172228135</v>
      </c>
      <c r="T10" s="5">
        <f t="shared" ref="T10:T18" si="14">S10/9.81</f>
        <v>801.89250940089835</v>
      </c>
    </row>
    <row r="11" spans="1:20" x14ac:dyDescent="0.2">
      <c r="A11" s="30">
        <v>18000</v>
      </c>
      <c r="B11" s="3">
        <f t="shared" si="0"/>
        <v>59055.118110236217</v>
      </c>
      <c r="C11">
        <v>216.7</v>
      </c>
      <c r="D11">
        <v>7.4069999999999997E-2</v>
      </c>
      <c r="E11" s="1">
        <f t="shared" si="1"/>
        <v>7505.14275</v>
      </c>
      <c r="F11">
        <f t="shared" si="2"/>
        <v>1.6650861590820347E-2</v>
      </c>
      <c r="G11">
        <f t="shared" si="3"/>
        <v>0.12065337328744033</v>
      </c>
      <c r="H11" s="4">
        <v>133</v>
      </c>
      <c r="I11" s="1">
        <f t="shared" si="4"/>
        <v>7987.5746533935016</v>
      </c>
      <c r="J11" s="1">
        <f t="shared" si="5"/>
        <v>1304.73</v>
      </c>
      <c r="K11" s="1">
        <f t="shared" si="6"/>
        <v>9454.1699761715645</v>
      </c>
      <c r="L11" s="1">
        <f t="shared" si="7"/>
        <v>8149.4399761715649</v>
      </c>
      <c r="M11" s="4">
        <v>8</v>
      </c>
      <c r="N11" s="1">
        <f t="shared" si="8"/>
        <v>6.2002915490118156</v>
      </c>
      <c r="O11" s="3">
        <f t="shared" si="9"/>
        <v>40.684327749421357</v>
      </c>
      <c r="P11" s="3">
        <f t="shared" si="10"/>
        <v>483.09671752450907</v>
      </c>
      <c r="Q11" s="3">
        <f t="shared" si="11"/>
        <v>5200.0097900403371</v>
      </c>
      <c r="R11" s="3">
        <f t="shared" si="12"/>
        <v>231.88642441176435</v>
      </c>
      <c r="S11" s="5">
        <f t="shared" si="13"/>
        <v>7917.5535517598009</v>
      </c>
      <c r="T11" s="5">
        <f t="shared" si="14"/>
        <v>807.09006643830787</v>
      </c>
    </row>
    <row r="12" spans="1:20" x14ac:dyDescent="0.2">
      <c r="A12" s="30">
        <v>21300</v>
      </c>
      <c r="B12" s="3">
        <f t="shared" si="0"/>
        <v>69881.889763779531</v>
      </c>
      <c r="C12">
        <v>217.9</v>
      </c>
      <c r="D12">
        <v>4.4538800000000003E-2</v>
      </c>
      <c r="E12" s="1">
        <f>$E$5*D12</f>
        <v>4512.8939100000007</v>
      </c>
      <c r="F12">
        <f t="shared" si="2"/>
        <v>9.9571387501323841E-3</v>
      </c>
      <c r="G12">
        <f t="shared" si="3"/>
        <v>7.2150163037621604E-2</v>
      </c>
      <c r="H12" s="4">
        <v>135</v>
      </c>
      <c r="I12" s="1">
        <f t="shared" si="4"/>
        <v>13558.111761594677</v>
      </c>
      <c r="J12" s="1">
        <f t="shared" si="5"/>
        <v>1324.3500000000001</v>
      </c>
      <c r="K12" s="1">
        <f t="shared" si="6"/>
        <v>9596.3379457380543</v>
      </c>
      <c r="L12" s="1">
        <f t="shared" si="7"/>
        <v>8271.9879457380539</v>
      </c>
      <c r="M12" s="4">
        <v>13</v>
      </c>
      <c r="N12" s="1">
        <f t="shared" si="8"/>
        <v>6.2910395572023194</v>
      </c>
      <c r="O12" s="3">
        <f t="shared" si="9"/>
        <v>41.279787120750129</v>
      </c>
      <c r="P12" s="3">
        <f t="shared" si="10"/>
        <v>497.34149554415882</v>
      </c>
      <c r="Q12" s="3">
        <f t="shared" si="11"/>
        <v>5353.3393045497623</v>
      </c>
      <c r="R12" s="3">
        <f t="shared" si="12"/>
        <v>387.92636652444384</v>
      </c>
      <c r="S12" s="5">
        <f t="shared" si="13"/>
        <v>7884.0615792136105</v>
      </c>
      <c r="T12" s="5">
        <f t="shared" si="14"/>
        <v>803.67600195857392</v>
      </c>
    </row>
    <row r="13" spans="1:20" x14ac:dyDescent="0.2">
      <c r="A13" s="30">
        <v>24500</v>
      </c>
      <c r="B13" s="3">
        <f t="shared" si="0"/>
        <v>80380.577427821525</v>
      </c>
      <c r="C13">
        <v>221.2</v>
      </c>
      <c r="D13">
        <v>2.6669999999999999E-2</v>
      </c>
      <c r="E13" s="1">
        <f t="shared" si="1"/>
        <v>2702.3377500000001</v>
      </c>
      <c r="F13">
        <f t="shared" si="2"/>
        <v>5.8734215250730287E-3</v>
      </c>
      <c r="G13">
        <f t="shared" si="3"/>
        <v>4.2559246311302132E-2</v>
      </c>
      <c r="H13" s="4">
        <v>140</v>
      </c>
      <c r="I13" s="1">
        <f t="shared" si="4"/>
        <v>23836.191460523391</v>
      </c>
      <c r="J13" s="1">
        <f t="shared" si="5"/>
        <v>1373.4</v>
      </c>
      <c r="K13" s="1">
        <f t="shared" si="6"/>
        <v>9951.7578696542787</v>
      </c>
      <c r="L13" s="1">
        <f t="shared" si="7"/>
        <v>8578.3578696542791</v>
      </c>
      <c r="M13" s="4">
        <v>24</v>
      </c>
      <c r="N13" s="1">
        <f t="shared" si="8"/>
        <v>6.1893589668886788</v>
      </c>
      <c r="O13" s="3">
        <f t="shared" si="9"/>
        <v>40.612591646251168</v>
      </c>
      <c r="P13" s="3">
        <f t="shared" si="10"/>
        <v>481.39459167016048</v>
      </c>
      <c r="Q13" s="3">
        <f t="shared" si="11"/>
        <v>5181.6882598261636</v>
      </c>
      <c r="R13" s="3">
        <f t="shared" si="12"/>
        <v>693.2082120050311</v>
      </c>
      <c r="S13" s="5">
        <f t="shared" si="13"/>
        <v>7885.1496576492482</v>
      </c>
      <c r="T13" s="5">
        <f t="shared" si="14"/>
        <v>803.7869171915645</v>
      </c>
    </row>
    <row r="14" spans="1:20" x14ac:dyDescent="0.2">
      <c r="A14" s="30">
        <v>27500</v>
      </c>
      <c r="B14" s="3">
        <f t="shared" si="0"/>
        <v>90223.097112860894</v>
      </c>
      <c r="C14">
        <v>224.2</v>
      </c>
      <c r="D14">
        <v>1.6889999999999999E-2</v>
      </c>
      <c r="E14" s="1">
        <f t="shared" si="1"/>
        <v>1711.37925</v>
      </c>
      <c r="F14">
        <f t="shared" si="2"/>
        <v>3.66984159490153E-3</v>
      </c>
      <c r="G14">
        <f t="shared" si="3"/>
        <v>2.6591943332201769E-2</v>
      </c>
      <c r="H14" s="4">
        <v>147</v>
      </c>
      <c r="I14" s="1">
        <f t="shared" si="4"/>
        <v>40056.224825677884</v>
      </c>
      <c r="J14" s="1">
        <f t="shared" si="5"/>
        <v>1442.0700000000002</v>
      </c>
      <c r="K14" s="1">
        <f t="shared" si="6"/>
        <v>10449.345763136993</v>
      </c>
      <c r="L14" s="1">
        <f t="shared" si="7"/>
        <v>9007.2757631369932</v>
      </c>
      <c r="M14" s="4">
        <v>40</v>
      </c>
      <c r="N14" s="1">
        <f t="shared" si="8"/>
        <v>6.2064101397189653</v>
      </c>
      <c r="O14" s="3">
        <f t="shared" si="9"/>
        <v>40.72447598240791</v>
      </c>
      <c r="P14" s="3">
        <f t="shared" si="10"/>
        <v>484.05064994010752</v>
      </c>
      <c r="Q14" s="3">
        <f t="shared" si="11"/>
        <v>5210.2778331054342</v>
      </c>
      <c r="R14" s="3">
        <f t="shared" si="12"/>
        <v>1161.721559856258</v>
      </c>
      <c r="S14" s="5">
        <f t="shared" si="13"/>
        <v>7845.5542032807352</v>
      </c>
      <c r="T14" s="5">
        <f t="shared" si="14"/>
        <v>799.75068331098214</v>
      </c>
    </row>
    <row r="15" spans="1:20" x14ac:dyDescent="0.2">
      <c r="A15" s="30">
        <v>30500</v>
      </c>
      <c r="B15" s="3">
        <f t="shared" si="0"/>
        <v>100065.61679790026</v>
      </c>
      <c r="C15">
        <v>227.2</v>
      </c>
      <c r="D15">
        <v>1.073E-2</v>
      </c>
      <c r="E15" s="1">
        <f t="shared" si="1"/>
        <v>1087.2172499999999</v>
      </c>
      <c r="F15">
        <f t="shared" si="2"/>
        <v>2.3006188422602923E-3</v>
      </c>
      <c r="G15">
        <f t="shared" si="3"/>
        <v>1.6670454105532823E-2</v>
      </c>
      <c r="H15" s="4">
        <v>162</v>
      </c>
      <c r="I15" s="1">
        <f t="shared" si="4"/>
        <v>70415.836393324338</v>
      </c>
      <c r="J15" s="1">
        <f t="shared" si="5"/>
        <v>1589.22</v>
      </c>
      <c r="K15" s="1">
        <f t="shared" si="6"/>
        <v>11515.605534885666</v>
      </c>
      <c r="L15" s="1">
        <f t="shared" si="7"/>
        <v>9926.3855348856669</v>
      </c>
      <c r="M15" s="4">
        <v>71</v>
      </c>
      <c r="N15" s="1">
        <f t="shared" si="8"/>
        <v>6.1864445986137122</v>
      </c>
      <c r="O15" s="3">
        <f t="shared" si="9"/>
        <v>40.593468494840629</v>
      </c>
      <c r="P15" s="3">
        <f t="shared" si="10"/>
        <v>480.94135222201226</v>
      </c>
      <c r="Q15" s="3">
        <f t="shared" si="11"/>
        <v>5176.8096310089768</v>
      </c>
      <c r="R15" s="3">
        <f t="shared" si="12"/>
        <v>2048.8101604657718</v>
      </c>
      <c r="S15" s="5">
        <f t="shared" si="13"/>
        <v>7877.5753744198955</v>
      </c>
      <c r="T15" s="5">
        <f t="shared" si="14"/>
        <v>803.01481900304736</v>
      </c>
    </row>
    <row r="16" spans="1:20" x14ac:dyDescent="0.2">
      <c r="A16" s="30">
        <v>33500</v>
      </c>
      <c r="B16" s="3">
        <f t="shared" si="0"/>
        <v>109908.13648293963</v>
      </c>
      <c r="C16">
        <v>232.9</v>
      </c>
      <c r="D16">
        <v>6.8609999999999999E-3</v>
      </c>
      <c r="E16" s="1">
        <f t="shared" si="1"/>
        <v>695.19082500000002</v>
      </c>
      <c r="F16">
        <f t="shared" si="2"/>
        <v>1.4350637963635763E-3</v>
      </c>
      <c r="G16">
        <f t="shared" si="3"/>
        <v>1.0398578293954538E-2</v>
      </c>
      <c r="H16" s="4">
        <v>191</v>
      </c>
      <c r="I16" s="1">
        <f t="shared" si="4"/>
        <v>133095.12823331638</v>
      </c>
      <c r="J16" s="1">
        <f t="shared" si="5"/>
        <v>1873.71</v>
      </c>
      <c r="K16" s="1">
        <f t="shared" si="6"/>
        <v>13577.041093599764</v>
      </c>
      <c r="L16" s="1">
        <f t="shared" si="7"/>
        <v>11703.331093599765</v>
      </c>
      <c r="M16" s="4">
        <v>133</v>
      </c>
      <c r="N16" s="1">
        <f t="shared" si="8"/>
        <v>6.204983575214067</v>
      </c>
      <c r="O16" s="3">
        <f t="shared" si="9"/>
        <v>40.715115322926948</v>
      </c>
      <c r="P16" s="3">
        <f t="shared" si="10"/>
        <v>483.82815413336635</v>
      </c>
      <c r="Q16" s="3">
        <f t="shared" si="11"/>
        <v>5207.8829081735785</v>
      </c>
      <c r="R16" s="3">
        <f t="shared" si="12"/>
        <v>3860.9486699842632</v>
      </c>
      <c r="S16" s="5">
        <f t="shared" si="13"/>
        <v>7842.3824236155015</v>
      </c>
      <c r="T16" s="5">
        <f t="shared" si="14"/>
        <v>799.42736224418968</v>
      </c>
    </row>
    <row r="17" spans="1:20" x14ac:dyDescent="0.2">
      <c r="A17" s="30">
        <v>35000</v>
      </c>
      <c r="B17" s="3">
        <f t="shared" si="0"/>
        <v>114829.39632545931</v>
      </c>
      <c r="C17">
        <v>236.5</v>
      </c>
      <c r="D17">
        <v>5.6707900000000002E-3</v>
      </c>
      <c r="E17" s="1">
        <f t="shared" si="1"/>
        <v>574.59279675000005</v>
      </c>
      <c r="F17">
        <f t="shared" si="2"/>
        <v>1.1680614668035454E-3</v>
      </c>
      <c r="G17">
        <f t="shared" si="3"/>
        <v>8.4638596872739918E-3</v>
      </c>
      <c r="H17" s="4">
        <v>219</v>
      </c>
      <c r="I17" s="1">
        <f t="shared" si="4"/>
        <v>187490.13320275318</v>
      </c>
      <c r="J17" s="1">
        <f t="shared" si="5"/>
        <v>2148.3900000000003</v>
      </c>
      <c r="K17" s="1">
        <f t="shared" si="6"/>
        <v>15567.392667530619</v>
      </c>
      <c r="L17" s="1">
        <f t="shared" si="7"/>
        <v>13419.002667530618</v>
      </c>
      <c r="M17" s="4">
        <v>200</v>
      </c>
      <c r="N17" s="1">
        <f t="shared" si="8"/>
        <v>6.0713686560639415</v>
      </c>
      <c r="O17" s="3">
        <f t="shared" si="9"/>
        <v>39.838377008293577</v>
      </c>
      <c r="P17" s="3">
        <f t="shared" si="10"/>
        <v>463.21548852619679</v>
      </c>
      <c r="Q17" s="3">
        <f t="shared" si="11"/>
        <v>4986.0100221284119</v>
      </c>
      <c r="R17" s="3">
        <f t="shared" si="12"/>
        <v>5558.5858623143613</v>
      </c>
      <c r="S17" s="5">
        <f t="shared" si="13"/>
        <v>7860.4168052162568</v>
      </c>
      <c r="T17" s="5">
        <f t="shared" si="14"/>
        <v>801.2657293798427</v>
      </c>
    </row>
    <row r="18" spans="1:20" x14ac:dyDescent="0.2">
      <c r="A18" s="30">
        <v>36500</v>
      </c>
      <c r="B18" s="3">
        <f t="shared" si="0"/>
        <v>119750.656167979</v>
      </c>
      <c r="C18">
        <v>241.3</v>
      </c>
      <c r="D18">
        <v>4.4520000000000002E-3</v>
      </c>
      <c r="E18" s="1">
        <f t="shared" si="1"/>
        <v>451.09890000000001</v>
      </c>
      <c r="F18">
        <f t="shared" si="2"/>
        <v>8.987752637954669E-4</v>
      </c>
      <c r="G18">
        <f t="shared" si="3"/>
        <v>6.5125919648515631E-3</v>
      </c>
      <c r="H18" s="4">
        <v>270</v>
      </c>
      <c r="I18" s="1">
        <f t="shared" si="4"/>
        <v>300408.80170623335</v>
      </c>
      <c r="J18" s="1">
        <f t="shared" si="5"/>
        <v>2648.7000000000003</v>
      </c>
      <c r="K18" s="1">
        <f t="shared" si="6"/>
        <v>19192.675891476109</v>
      </c>
      <c r="L18" s="1">
        <f t="shared" si="7"/>
        <v>16543.975891476108</v>
      </c>
      <c r="M18" s="4">
        <v>300</v>
      </c>
      <c r="N18" s="1">
        <f t="shared" si="8"/>
        <v>6.2063214116037484</v>
      </c>
      <c r="O18" s="3">
        <f t="shared" si="9"/>
        <v>40.723893776927483</v>
      </c>
      <c r="P18" s="3">
        <f t="shared" si="10"/>
        <v>484.03680986384165</v>
      </c>
      <c r="Q18" s="3">
        <f t="shared" si="11"/>
        <v>5210.1288597643479</v>
      </c>
      <c r="R18" s="3">
        <f t="shared" si="12"/>
        <v>8712.6625775491484</v>
      </c>
      <c r="S18" s="5">
        <f t="shared" si="13"/>
        <v>7831.3133139269594</v>
      </c>
      <c r="T18" s="5">
        <f t="shared" si="14"/>
        <v>798.29901263271756</v>
      </c>
    </row>
    <row r="19" spans="1:20" x14ac:dyDescent="0.2">
      <c r="A19" s="3"/>
      <c r="B19" s="3"/>
    </row>
    <row r="20" spans="1:20" x14ac:dyDescent="0.2">
      <c r="A20" s="3"/>
      <c r="B20" s="3"/>
    </row>
    <row r="21" spans="1:20" x14ac:dyDescent="0.2">
      <c r="A21" s="3"/>
      <c r="B21" s="3"/>
    </row>
    <row r="22" spans="1:20" x14ac:dyDescent="0.2">
      <c r="A22" s="3"/>
      <c r="B22" s="3"/>
    </row>
    <row r="23" spans="1:20" ht="18" x14ac:dyDescent="0.25">
      <c r="A23" s="34" t="s">
        <v>40</v>
      </c>
      <c r="B23" s="3"/>
    </row>
    <row r="24" spans="1:20" ht="18" customHeight="1" x14ac:dyDescent="0.25">
      <c r="A24" s="12" t="s">
        <v>56</v>
      </c>
      <c r="B24" s="13">
        <v>1200</v>
      </c>
      <c r="C24" s="13">
        <v>1500</v>
      </c>
      <c r="D24" s="13">
        <v>2000</v>
      </c>
      <c r="E24" s="12">
        <v>3000</v>
      </c>
    </row>
    <row r="25" spans="1:20" ht="17.25" customHeight="1" x14ac:dyDescent="0.25">
      <c r="A25" s="11" t="s">
        <v>42</v>
      </c>
      <c r="B25" s="14">
        <v>3</v>
      </c>
      <c r="C25" s="14">
        <v>3</v>
      </c>
      <c r="D25" s="14">
        <v>5</v>
      </c>
      <c r="E25" s="11">
        <v>5</v>
      </c>
    </row>
    <row r="26" spans="1:20" ht="15.75" x14ac:dyDescent="0.25">
      <c r="A26" s="12" t="s">
        <v>43</v>
      </c>
      <c r="B26" s="13">
        <v>12</v>
      </c>
      <c r="C26" s="13">
        <v>12</v>
      </c>
      <c r="D26" s="13">
        <v>18</v>
      </c>
      <c r="E26" s="12">
        <v>18</v>
      </c>
    </row>
    <row r="27" spans="1:20" ht="18.75" customHeight="1" x14ac:dyDescent="0.25">
      <c r="A27" s="11" t="s">
        <v>44</v>
      </c>
      <c r="B27" s="14">
        <v>226</v>
      </c>
      <c r="C27" s="14">
        <v>253</v>
      </c>
      <c r="D27" s="14">
        <v>289</v>
      </c>
      <c r="E27" s="11">
        <v>357</v>
      </c>
    </row>
    <row r="28" spans="1:20" ht="17.25" customHeight="1" x14ac:dyDescent="0.25">
      <c r="A28" s="12" t="s">
        <v>45</v>
      </c>
      <c r="B28" s="13">
        <v>144</v>
      </c>
      <c r="C28" s="13">
        <v>161</v>
      </c>
      <c r="D28" s="13">
        <v>184</v>
      </c>
      <c r="E28" s="12">
        <v>227</v>
      </c>
    </row>
    <row r="29" spans="1:20" ht="15.75" x14ac:dyDescent="0.25">
      <c r="A29" s="11" t="s">
        <v>46</v>
      </c>
      <c r="B29" s="14">
        <v>1050</v>
      </c>
      <c r="C29" s="14">
        <v>1050</v>
      </c>
      <c r="D29" s="14">
        <v>1050</v>
      </c>
      <c r="E29" s="11">
        <v>1050</v>
      </c>
    </row>
    <row r="30" spans="1:20" ht="16.5" customHeight="1" x14ac:dyDescent="0.25">
      <c r="A30" s="12" t="s">
        <v>47</v>
      </c>
      <c r="B30" s="13">
        <v>1190</v>
      </c>
      <c r="C30" s="13">
        <v>1280</v>
      </c>
      <c r="D30" s="13">
        <v>1420</v>
      </c>
      <c r="E30" s="12">
        <v>1670</v>
      </c>
    </row>
    <row r="31" spans="1:20" ht="15.75" x14ac:dyDescent="0.25">
      <c r="A31" s="11" t="s">
        <v>48</v>
      </c>
      <c r="B31" s="14">
        <v>2240</v>
      </c>
      <c r="C31" s="14">
        <v>2330</v>
      </c>
      <c r="D31" s="14">
        <v>2470</v>
      </c>
      <c r="E31" s="11">
        <v>2720</v>
      </c>
    </row>
    <row r="32" spans="1:20" ht="15.75" x14ac:dyDescent="0.25">
      <c r="A32" s="12" t="s">
        <v>49</v>
      </c>
      <c r="B32" s="13">
        <v>3440</v>
      </c>
      <c r="C32" s="13">
        <v>3830</v>
      </c>
      <c r="D32" s="13">
        <v>4470</v>
      </c>
      <c r="E32" s="12">
        <v>5720</v>
      </c>
    </row>
    <row r="33" spans="1:5" ht="13.5" customHeight="1" x14ac:dyDescent="0.25">
      <c r="A33" s="11" t="s">
        <v>50</v>
      </c>
      <c r="B33" s="14">
        <v>179</v>
      </c>
      <c r="C33" s="14">
        <v>185</v>
      </c>
      <c r="D33" s="14">
        <v>195</v>
      </c>
      <c r="E33" s="11">
        <v>212</v>
      </c>
    </row>
    <row r="34" spans="1:5" ht="14.25" customHeight="1" x14ac:dyDescent="0.25">
      <c r="A34" s="12" t="s">
        <v>51</v>
      </c>
      <c r="B34" s="13">
        <v>2.99</v>
      </c>
      <c r="C34" s="13">
        <v>3.33</v>
      </c>
      <c r="D34" s="13">
        <v>3.89</v>
      </c>
      <c r="E34" s="12">
        <v>4.97</v>
      </c>
    </row>
    <row r="35" spans="1:5" ht="15.75" customHeight="1" x14ac:dyDescent="0.25">
      <c r="A35" s="11" t="s">
        <v>52</v>
      </c>
      <c r="B35" s="14">
        <v>320</v>
      </c>
      <c r="C35" s="14">
        <v>320</v>
      </c>
      <c r="D35" s="14">
        <v>320</v>
      </c>
      <c r="E35" s="11">
        <v>320</v>
      </c>
    </row>
    <row r="36" spans="1:5" ht="13.5" customHeight="1" x14ac:dyDescent="0.25">
      <c r="A36" s="17" t="s">
        <v>53</v>
      </c>
      <c r="B36" s="18">
        <v>863</v>
      </c>
      <c r="C36" s="18">
        <v>944</v>
      </c>
      <c r="D36" s="18">
        <v>1054</v>
      </c>
      <c r="E36" s="17">
        <v>1300</v>
      </c>
    </row>
    <row r="37" spans="1:5" ht="13.5" customHeight="1" x14ac:dyDescent="0.25">
      <c r="A37" s="15" t="s">
        <v>57</v>
      </c>
      <c r="B37" s="16">
        <f>B36/200</f>
        <v>4.3150000000000004</v>
      </c>
      <c r="C37" s="16">
        <f>C36/200</f>
        <v>4.72</v>
      </c>
      <c r="D37" s="16">
        <f>D36/200</f>
        <v>5.27</v>
      </c>
      <c r="E37" s="15">
        <f>E36/200</f>
        <v>6.5</v>
      </c>
    </row>
    <row r="38" spans="1:5" ht="15.75" customHeight="1" x14ac:dyDescent="0.25">
      <c r="A38" s="11" t="s">
        <v>54</v>
      </c>
      <c r="B38" s="14">
        <v>33.200000000000003</v>
      </c>
      <c r="C38" s="14">
        <v>34.200000000000003</v>
      </c>
      <c r="D38" s="14">
        <v>35.4</v>
      </c>
      <c r="E38" s="11">
        <v>37.9</v>
      </c>
    </row>
    <row r="39" spans="1:5" ht="13.5" customHeight="1" x14ac:dyDescent="0.25">
      <c r="A39" s="12" t="s">
        <v>55</v>
      </c>
      <c r="B39" s="13">
        <v>7.3</v>
      </c>
      <c r="C39" s="13">
        <v>6.3</v>
      </c>
      <c r="D39" s="13">
        <v>5.3</v>
      </c>
      <c r="E39" s="12">
        <v>3.7</v>
      </c>
    </row>
  </sheetData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 helium balloon</vt:lpstr>
      <vt:lpstr>single hydrogen balloon</vt:lpstr>
      <vt:lpstr>multiple helium balloons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Newlands</dc:creator>
  <cp:lastModifiedBy>Rick</cp:lastModifiedBy>
  <dcterms:created xsi:type="dcterms:W3CDTF">2000-10-04T17:21:12Z</dcterms:created>
  <dcterms:modified xsi:type="dcterms:W3CDTF">2013-07-23T18:07:54Z</dcterms:modified>
</cp:coreProperties>
</file>